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654"/>
  </bookViews>
  <sheets>
    <sheet name="附表1收入调整表2019" sheetId="14" r:id="rId1"/>
    <sheet name="附表2财力调整表2019" sheetId="13" r:id="rId2"/>
    <sheet name="附表3公共预算支出调整表" sheetId="15" r:id="rId3"/>
    <sheet name="附表4政府性基金支出调整表" sheetId="16" r:id="rId4"/>
  </sheets>
  <definedNames>
    <definedName name="_xlnm._FilterDatabase" localSheetId="0" hidden="1">附表1收入调整表2019!$A$4:$V$63</definedName>
    <definedName name="_xlnm._FilterDatabase" localSheetId="1" hidden="1">附表2财力调整表2019!$A$4:$S$78</definedName>
    <definedName name="_xlnm.Print_Titles" localSheetId="0">附表1收入调整表2019!$1:$4</definedName>
    <definedName name="_xlnm.Print_Titles" localSheetId="1">附表2财力调整表2019!$1:$4</definedName>
    <definedName name="_xlnm.Print_Area" localSheetId="0">附表1收入调整表2019!$A$1:$V$63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7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5734万元</t>
        </r>
      </text>
    </comment>
    <comment ref="E7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5734万元</t>
        </r>
      </text>
    </comment>
    <comment ref="B7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</text>
    </comment>
    <comment ref="E7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<sst xmlns="http://schemas.openxmlformats.org/spreadsheetml/2006/main" count="365" uniqueCount="198">
  <si>
    <t>附表1：2019年分部门分税种财政收入预算调整情况表</t>
  </si>
  <si>
    <t>编制单位：闽侯县财政局</t>
  </si>
  <si>
    <t>编制日期：2019年12月</t>
  </si>
  <si>
    <t>单位：万元</t>
  </si>
  <si>
    <t>征收部门</t>
  </si>
  <si>
    <t>2018人大年初任务数</t>
  </si>
  <si>
    <t>2018年完成数</t>
  </si>
  <si>
    <t>2019人大年初任务数</t>
  </si>
  <si>
    <t>2019年预计完成数</t>
  </si>
  <si>
    <t>2020年预计数</t>
  </si>
  <si>
    <t>增减额</t>
  </si>
  <si>
    <t>增幅%</t>
  </si>
  <si>
    <t>小计</t>
  </si>
  <si>
    <t>闽侯县</t>
  </si>
  <si>
    <t>高新区</t>
  </si>
  <si>
    <t>一、财政总收入(含基金)</t>
  </si>
  <si>
    <t>（一）一般公共预算总收入</t>
  </si>
  <si>
    <t>1、上划中央收入</t>
  </si>
  <si>
    <t>2、一般公共预算收入</t>
  </si>
  <si>
    <t>（1）税收收入</t>
  </si>
  <si>
    <t>（2）非税收入</t>
  </si>
  <si>
    <t>（二）基金收入</t>
  </si>
  <si>
    <t>二、税务局组织收入</t>
  </si>
  <si>
    <t>（一）增值税</t>
  </si>
  <si>
    <t>其中：国内增值税</t>
  </si>
  <si>
    <t xml:space="preserve">      改征增值税</t>
  </si>
  <si>
    <t xml:space="preserve">      东南汽车</t>
  </si>
  <si>
    <t xml:space="preserve">      奔驰汽车</t>
  </si>
  <si>
    <t>（二）消费税</t>
  </si>
  <si>
    <t>（三）营业税</t>
  </si>
  <si>
    <t>（四）企业所得税</t>
  </si>
  <si>
    <t>（五）个人所得税</t>
  </si>
  <si>
    <t>（六）资源税</t>
  </si>
  <si>
    <t>（七）城市维护建设税</t>
  </si>
  <si>
    <t>（八）房产税</t>
  </si>
  <si>
    <t>（九）印花税</t>
  </si>
  <si>
    <t>（十）城镇土地使用税</t>
  </si>
  <si>
    <t>（十一）土地增值税</t>
  </si>
  <si>
    <t>（十二）车船税</t>
  </si>
  <si>
    <t>（十三）耕地占用税</t>
  </si>
  <si>
    <t>（十四）契税</t>
  </si>
  <si>
    <t>(十五）环境保护税</t>
  </si>
  <si>
    <t>（十六）车辆购置税</t>
  </si>
  <si>
    <t>三、财政局组织收入</t>
  </si>
  <si>
    <t>（一）行政性事业性收费收入</t>
  </si>
  <si>
    <t>（二）罚没收入</t>
  </si>
  <si>
    <t>（三）专项收入</t>
  </si>
  <si>
    <t xml:space="preserve"> 其中： 教育费附加收入</t>
  </si>
  <si>
    <t xml:space="preserve">      残疾人就业保障金收入</t>
  </si>
  <si>
    <t xml:space="preserve">     教育资金收入</t>
  </si>
  <si>
    <t xml:space="preserve">     农田水利建设资金收入</t>
  </si>
  <si>
    <t xml:space="preserve">     森林植被恢复费收入</t>
  </si>
  <si>
    <t xml:space="preserve">     水利建设专项收入</t>
  </si>
  <si>
    <t xml:space="preserve">    其他专项收入</t>
  </si>
  <si>
    <t>（四）国有资本经营收入</t>
  </si>
  <si>
    <t>（五）国有资源（资产）有偿使用收入</t>
  </si>
  <si>
    <t xml:space="preserve"> (六) 捐赠收入</t>
  </si>
  <si>
    <t xml:space="preserve"> (七） 政府住房基金收入</t>
  </si>
  <si>
    <t>（八）其他收入</t>
  </si>
  <si>
    <t>四、其它增值税退税</t>
  </si>
  <si>
    <t>五、基金收入</t>
  </si>
  <si>
    <t>（一）土地基金收入</t>
  </si>
  <si>
    <t xml:space="preserve">    1、国有土地使用权出让收入</t>
  </si>
  <si>
    <t xml:space="preserve">    2、国有土地基金收益收入</t>
  </si>
  <si>
    <t xml:space="preserve">    3、农业土地开发资金收入</t>
  </si>
  <si>
    <t>（二）其他基金收入</t>
  </si>
  <si>
    <t xml:space="preserve">    1、城市基础设施配套费收入</t>
  </si>
  <si>
    <t xml:space="preserve">    2、彩票公益金收入</t>
  </si>
  <si>
    <t xml:space="preserve">   3、体育彩票公益金收入</t>
  </si>
  <si>
    <t xml:space="preserve">    4、污水处理费收入</t>
  </si>
  <si>
    <t>附表2：2019年一般公共预算财力情况调整表</t>
  </si>
  <si>
    <t xml:space="preserve">编制单位：闽侯县财政局   </t>
  </si>
  <si>
    <t>项目</t>
  </si>
  <si>
    <t>2019年计划数</t>
  </si>
  <si>
    <t>比年初计划增减数</t>
  </si>
  <si>
    <t>预计完成率</t>
  </si>
  <si>
    <t>财力性质</t>
  </si>
  <si>
    <t>一、一般公共预算收入</t>
  </si>
  <si>
    <t>二、上级补助收入</t>
  </si>
  <si>
    <t>（一）返还性收入</t>
  </si>
  <si>
    <t xml:space="preserve">   1、增值税和消费税税收返还收入</t>
  </si>
  <si>
    <t>财力</t>
  </si>
  <si>
    <t xml:space="preserve">   2、所得税基数返还收入</t>
  </si>
  <si>
    <t xml:space="preserve">   3、成品油价格和税费改革税收返还收入</t>
  </si>
  <si>
    <t xml:space="preserve">   4、增值税“五五分享”税收返还</t>
  </si>
  <si>
    <t>（二）一般性转移支付补助收入</t>
  </si>
  <si>
    <t>1、体制补助收入</t>
  </si>
  <si>
    <t>专项</t>
  </si>
  <si>
    <t>2、老少边穷转移支付收入</t>
  </si>
  <si>
    <t>3、均衡性转移支付收入</t>
  </si>
  <si>
    <t xml:space="preserve"> （1）调整工资转移支付收入</t>
  </si>
  <si>
    <t xml:space="preserve"> （2）县乡中小学教师津补贴转移支付</t>
  </si>
  <si>
    <t xml:space="preserve"> （3）机关事业单位调整工资和养老保险制度改革转移支付资金</t>
  </si>
  <si>
    <t xml:space="preserve"> （4）农业转移人口市民化奖励资金</t>
  </si>
  <si>
    <t>4、县级基本财力保障机制奖补资金收入</t>
  </si>
  <si>
    <t xml:space="preserve"> （1）县级基本财力保障机制补助（闽财预指[2015]18号、闽财预指[2016]2号、闽财预指[2016]15号）</t>
  </si>
  <si>
    <t xml:space="preserve"> （2）原“六挂六奖”补助基数（闽财预［2014］40号）</t>
  </si>
  <si>
    <t xml:space="preserve"> （3）省对市县财政下移财力及加强绩效管理奖励</t>
  </si>
  <si>
    <t xml:space="preserve"> （4)其他县级基本财力保障机制补助（闽财绩指【2016】001号、闽财（农改）指［2016]005号）</t>
  </si>
  <si>
    <t>5、结算补助收入</t>
  </si>
  <si>
    <t xml:space="preserve"> （1）县（市）烟草公司收入转移补助</t>
  </si>
  <si>
    <t xml:space="preserve"> （2）公共体育场馆、博物馆、纪念馆等免费开放补助资金</t>
  </si>
  <si>
    <t xml:space="preserve"> （3）提高村主干及两委成员报酬市级补助</t>
  </si>
  <si>
    <t xml:space="preserve"> （4）生态保护转移支付资金(榕财预指201910号)</t>
  </si>
  <si>
    <t xml:space="preserve"> （5）其他结算补助转移支付资金</t>
  </si>
  <si>
    <t>6、基层公检法司转移支付收入</t>
  </si>
  <si>
    <t>7、义务教育转移支付收入</t>
  </si>
  <si>
    <t>8、基本养老保险和低保等转移支付收入</t>
  </si>
  <si>
    <t>9、新型农村合作医疗等转移支付收入</t>
  </si>
  <si>
    <t>10、农村综合改革等转移支付收入</t>
  </si>
  <si>
    <t xml:space="preserve"> （1）农村税费改革转移支付</t>
  </si>
  <si>
    <t xml:space="preserve"> （2）国有农场农村税费改革转移支付</t>
  </si>
  <si>
    <t xml:space="preserve"> （3）农村“五大员”、计生协会长、妇代会主任、团支部书记津贴转移支付</t>
  </si>
  <si>
    <t xml:space="preserve"> （4）其他农村综合改革等转移支付收入</t>
  </si>
  <si>
    <t>11、固定数额补助收入</t>
  </si>
  <si>
    <t xml:space="preserve"> （1）成品油价格改革财政补贴</t>
  </si>
  <si>
    <t>12、其他一般性转移支付收入</t>
  </si>
  <si>
    <t xml:space="preserve">      基本公共卫生服务等省级卫生专项补助</t>
  </si>
  <si>
    <t xml:space="preserve">      中央育林基金减收补助</t>
  </si>
  <si>
    <t xml:space="preserve">      村干部基本报酬保障奖励资金</t>
  </si>
  <si>
    <t xml:space="preserve">      村级组织运转经费</t>
  </si>
  <si>
    <t xml:space="preserve">      生猪调出大县奖励资金</t>
  </si>
  <si>
    <t xml:space="preserve">      农村公益电影场次补贴</t>
  </si>
  <si>
    <t xml:space="preserve">      美术馆、公共图书馆、文化馆（站）免费开放专项资金</t>
  </si>
  <si>
    <t xml:space="preserve">      社区居委会运转补助</t>
  </si>
  <si>
    <t xml:space="preserve">      困难群众救助补助   </t>
  </si>
  <si>
    <t xml:space="preserve">      残疾人两项补贴省级补助资金</t>
  </si>
  <si>
    <t xml:space="preserve">      保障性安居工程</t>
  </si>
  <si>
    <t xml:space="preserve">      公立医院综合改革</t>
  </si>
  <si>
    <t xml:space="preserve">      中央补助地方公共文化服务体系建设</t>
  </si>
  <si>
    <t xml:space="preserve">      高标准农田建设项目资金</t>
  </si>
  <si>
    <t xml:space="preserve">      少数民族专项补助</t>
  </si>
  <si>
    <t xml:space="preserve">      中央财政农业生产和水利救灾资金</t>
  </si>
  <si>
    <t xml:space="preserve">      其他一般性转移支付收入</t>
  </si>
  <si>
    <t>三、上解省市支出</t>
  </si>
  <si>
    <t>（一）体制上解</t>
  </si>
  <si>
    <t>.</t>
  </si>
  <si>
    <t>（二）专项上解</t>
  </si>
  <si>
    <t>(1)上解津补贴调节基金</t>
  </si>
  <si>
    <t>(2)福州市对口帮扶困难县</t>
  </si>
  <si>
    <t>(3)重点流域水环境综合整治资金专项上解</t>
  </si>
  <si>
    <t>(4)江河下游对上游地区森林生态效益补偿上解</t>
  </si>
  <si>
    <t>(5)中央、省财政统筹计提农田水利建设资金</t>
  </si>
  <si>
    <t>(6)福州市对口援藏资金（榕财企201912号）</t>
  </si>
  <si>
    <t>(7)上解精准扶贫医疗叠加保险资金</t>
  </si>
  <si>
    <t>(8)福州市对口援疆资金（榕财企201911号）</t>
  </si>
  <si>
    <t>(9)农村商信用社企业所得税省级分成部分上解（20%）</t>
  </si>
  <si>
    <t>（10）东南汽车增值税50%地方级部份上解（省37.573%，市8.192%，合计45.765%）</t>
  </si>
  <si>
    <t>（11）部分政法行政性收费和罚没收入上解</t>
  </si>
  <si>
    <t>（12）城市商业银行企业所得税省级分成部分上解</t>
  </si>
  <si>
    <t>四、调入政府性基金</t>
  </si>
  <si>
    <t>五、动用预算稳定调节基金</t>
  </si>
  <si>
    <t>六、转贷地方政府债券收入</t>
  </si>
  <si>
    <t>七、当年实现财力</t>
  </si>
  <si>
    <t>附表3：2019年公共财政预算支出调整情况表</t>
  </si>
  <si>
    <t>类编码</t>
  </si>
  <si>
    <t>类科目</t>
  </si>
  <si>
    <t>年初         预算数</t>
  </si>
  <si>
    <t>其中</t>
  </si>
  <si>
    <t>转移支付计入财力调整</t>
  </si>
  <si>
    <t>动用        预备费</t>
  </si>
  <si>
    <t>超短收安排</t>
  </si>
  <si>
    <t>调入基金</t>
  </si>
  <si>
    <t>调入稳定调节基金</t>
  </si>
  <si>
    <t>地方政府债券转贷资金</t>
  </si>
  <si>
    <t>外债转贷资金</t>
  </si>
  <si>
    <t>科目调剂</t>
  </si>
  <si>
    <t>调整后   支出数</t>
  </si>
  <si>
    <t>1-10月    实际支出   含乡镇</t>
  </si>
  <si>
    <t>11月</t>
  </si>
  <si>
    <t>高新区预计</t>
  </si>
  <si>
    <t>一般公共服务</t>
  </si>
  <si>
    <t>国防</t>
  </si>
  <si>
    <t>公共安全</t>
  </si>
  <si>
    <t>教育</t>
  </si>
  <si>
    <t>科学技术</t>
  </si>
  <si>
    <t>文化体育与传媒</t>
  </si>
  <si>
    <t>社会保障和就业支出</t>
  </si>
  <si>
    <t>医疗卫生与计划生育事务</t>
  </si>
  <si>
    <t>节能环保</t>
  </si>
  <si>
    <t>城乡社区事务</t>
  </si>
  <si>
    <t>农林水事务</t>
  </si>
  <si>
    <t>交通运输</t>
  </si>
  <si>
    <t>资源勘探信息等支出</t>
  </si>
  <si>
    <t>商业服务业等支出</t>
  </si>
  <si>
    <t>国土资源气象等支出</t>
  </si>
  <si>
    <t>住房保障支出</t>
  </si>
  <si>
    <t>粮油物资储备支出</t>
  </si>
  <si>
    <t>灾害防治和应急管理支出</t>
  </si>
  <si>
    <t>预备费</t>
  </si>
  <si>
    <t>其他支出</t>
  </si>
  <si>
    <t>债务还本支出</t>
  </si>
  <si>
    <t>债务付息支出</t>
  </si>
  <si>
    <t>债务发行费用支出</t>
  </si>
  <si>
    <t>合   计</t>
  </si>
  <si>
    <t>附表4：2019年政府性基金预算支出调整情况表</t>
  </si>
  <si>
    <t>动用上年结余</t>
  </si>
  <si>
    <t>调出基金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</si>
</sst>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#,##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178" formatCode="0_);[Red]\(0\)"/>
    <numFmt numFmtId="179" formatCode="0.00_ "/>
    <numFmt numFmtId="180" formatCode="#,##0.00_);[Red]\(#,##0.00\)"/>
  </numFmts>
  <fonts count="4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b/>
      <sz val="14"/>
      <name val="仿宋"/>
      <charset val="134"/>
    </font>
    <font>
      <b/>
      <sz val="14"/>
      <color indexed="8"/>
      <name val="仿宋"/>
      <charset val="134"/>
    </font>
    <font>
      <sz val="10"/>
      <name val="仿宋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4"/>
      <color indexed="8"/>
      <name val="仿宋"/>
      <charset val="134"/>
    </font>
    <font>
      <b/>
      <sz val="16"/>
      <name val="宋体"/>
      <charset val="134"/>
    </font>
    <font>
      <sz val="11"/>
      <color rgb="FFFF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sz val="18"/>
      <color indexed="6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/>
    <xf numFmtId="0" fontId="24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35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17" borderId="17" applyNumberFormat="0" applyAlignment="0" applyProtection="0">
      <alignment vertical="center"/>
    </xf>
    <xf numFmtId="0" fontId="40" fillId="17" borderId="16" applyNumberFormat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26" fillId="40" borderId="0" applyNumberFormat="0" applyBorder="0" applyAlignment="0" applyProtection="0"/>
    <xf numFmtId="0" fontId="38" fillId="3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6" fillId="25" borderId="0" applyNumberFormat="0" applyBorder="0" applyAlignment="0" applyProtection="0"/>
    <xf numFmtId="0" fontId="22" fillId="3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39" borderId="0" applyNumberFormat="0" applyBorder="0" applyAlignment="0" applyProtection="0"/>
    <xf numFmtId="0" fontId="22" fillId="2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6" fillId="40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6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25" borderId="0" applyNumberFormat="0" applyBorder="0" applyAlignment="0" applyProtection="0"/>
    <xf numFmtId="0" fontId="23" fillId="41" borderId="0" applyNumberFormat="0" applyBorder="0" applyAlignment="0" applyProtection="0"/>
    <xf numFmtId="0" fontId="23" fillId="47" borderId="0" applyNumberFormat="0" applyBorder="0" applyAlignment="0" applyProtection="0"/>
    <xf numFmtId="0" fontId="26" fillId="40" borderId="0" applyNumberFormat="0" applyBorder="0" applyAlignment="0" applyProtection="0"/>
    <xf numFmtId="0" fontId="26" fillId="48" borderId="0" applyNumberFormat="0" applyBorder="0" applyAlignment="0" applyProtection="0"/>
    <xf numFmtId="0" fontId="23" fillId="48" borderId="0" applyNumberFormat="0" applyBorder="0" applyAlignment="0" applyProtection="0"/>
    <xf numFmtId="0" fontId="43" fillId="0" borderId="0" applyNumberFormat="0" applyFill="0" applyBorder="0" applyAlignment="0" applyProtection="0"/>
    <xf numFmtId="0" fontId="12" fillId="0" borderId="0"/>
    <xf numFmtId="0" fontId="12" fillId="0" borderId="0"/>
    <xf numFmtId="0" fontId="42" fillId="49" borderId="0" applyNumberFormat="0" applyBorder="0" applyAlignment="0" applyProtection="0"/>
    <xf numFmtId="0" fontId="0" fillId="0" borderId="0">
      <alignment vertical="center"/>
    </xf>
    <xf numFmtId="0" fontId="5" fillId="0" borderId="0">
      <alignment vertical="center"/>
    </xf>
    <xf numFmtId="0" fontId="12" fillId="0" borderId="0"/>
    <xf numFmtId="0" fontId="12" fillId="0" borderId="0"/>
    <xf numFmtId="0" fontId="42" fillId="46" borderId="0" applyNumberFormat="0" applyBorder="0" applyAlignment="0" applyProtection="0"/>
    <xf numFmtId="0" fontId="42" fillId="50" borderId="0" applyNumberFormat="0" applyBorder="0" applyAlignment="0" applyProtection="0"/>
  </cellStyleXfs>
  <cellXfs count="14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76" applyFont="1" applyFill="1" applyBorder="1" applyAlignment="1">
      <alignment horizontal="center" vertical="center" wrapText="1"/>
    </xf>
    <xf numFmtId="0" fontId="8" fillId="2" borderId="1" xfId="76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77" fontId="10" fillId="0" borderId="2" xfId="0" applyNumberFormat="1" applyFont="1" applyBorder="1" applyAlignment="1">
      <alignment vertical="center"/>
    </xf>
    <xf numFmtId="177" fontId="10" fillId="2" borderId="2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77" fontId="10" fillId="0" borderId="1" xfId="0" applyNumberFormat="1" applyFont="1" applyBorder="1" applyAlignment="1">
      <alignment vertical="center"/>
    </xf>
    <xf numFmtId="177" fontId="10" fillId="2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177" fontId="11" fillId="0" borderId="2" xfId="0" applyNumberFormat="1" applyFont="1" applyBorder="1" applyAlignment="1">
      <alignment vertical="center"/>
    </xf>
    <xf numFmtId="177" fontId="11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176" fontId="13" fillId="0" borderId="1" xfId="76" applyNumberFormat="1" applyFont="1" applyFill="1" applyBorder="1" applyAlignment="1">
      <alignment horizontal="center" vertical="center" wrapText="1"/>
    </xf>
    <xf numFmtId="0" fontId="14" fillId="0" borderId="1" xfId="76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vertical="center"/>
    </xf>
    <xf numFmtId="177" fontId="15" fillId="0" borderId="2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7" fontId="10" fillId="0" borderId="2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17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vertical="center"/>
    </xf>
    <xf numFmtId="179" fontId="12" fillId="0" borderId="0" xfId="0" applyNumberFormat="1" applyFont="1" applyFill="1" applyAlignment="1">
      <alignment vertical="center"/>
    </xf>
    <xf numFmtId="0" fontId="19" fillId="0" borderId="0" xfId="0" applyFont="1" applyFill="1" applyAlignment="1" applyProtection="1">
      <alignment horizontal="center"/>
      <protection locked="0"/>
    </xf>
    <xf numFmtId="31" fontId="4" fillId="0" borderId="5" xfId="0" applyNumberFormat="1" applyFont="1" applyFill="1" applyBorder="1" applyAlignment="1">
      <alignment horizontal="left" wrapText="1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180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180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80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18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20" fillId="0" borderId="2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31" fontId="8" fillId="0" borderId="5" xfId="0" applyNumberFormat="1" applyFont="1" applyFill="1" applyBorder="1" applyAlignment="1">
      <alignment wrapText="1"/>
    </xf>
    <xf numFmtId="179" fontId="8" fillId="0" borderId="0" xfId="0" applyNumberFormat="1" applyFont="1" applyFill="1" applyAlignment="1">
      <alignment horizontal="right" wrapText="1"/>
    </xf>
    <xf numFmtId="179" fontId="4" fillId="0" borderId="5" xfId="0" applyNumberFormat="1" applyFont="1" applyFill="1" applyBorder="1" applyAlignment="1">
      <alignment horizontal="right" wrapText="1"/>
    </xf>
    <xf numFmtId="0" fontId="12" fillId="0" borderId="0" xfId="0" applyFont="1" applyFill="1" applyAlignment="1">
      <alignment horizontal="right" wrapText="1"/>
    </xf>
    <xf numFmtId="179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17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7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180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7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80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19" fillId="0" borderId="0" xfId="76" applyFont="1" applyFill="1" applyAlignment="1">
      <alignment horizontal="center" vertical="center"/>
    </xf>
    <xf numFmtId="31" fontId="4" fillId="0" borderId="0" xfId="76" applyNumberFormat="1" applyFont="1" applyFill="1" applyAlignment="1">
      <alignment vertical="center" wrapText="1"/>
    </xf>
    <xf numFmtId="0" fontId="16" fillId="3" borderId="1" xfId="76" applyFont="1" applyFill="1" applyBorder="1" applyAlignment="1">
      <alignment vertical="center" wrapText="1"/>
    </xf>
    <xf numFmtId="176" fontId="4" fillId="3" borderId="1" xfId="76" applyNumberFormat="1" applyFont="1" applyFill="1" applyBorder="1" applyAlignment="1">
      <alignment horizontal="right" vertical="center"/>
    </xf>
    <xf numFmtId="0" fontId="16" fillId="3" borderId="1" xfId="76" applyFont="1" applyFill="1" applyBorder="1" applyAlignment="1">
      <alignment horizontal="left" vertical="center" wrapText="1"/>
    </xf>
    <xf numFmtId="0" fontId="4" fillId="3" borderId="1" xfId="76" applyFont="1" applyFill="1" applyBorder="1" applyAlignment="1">
      <alignment vertical="center" wrapText="1"/>
    </xf>
    <xf numFmtId="0" fontId="4" fillId="0" borderId="1" xfId="76" applyFont="1" applyFill="1" applyBorder="1" applyAlignment="1">
      <alignment vertical="center" wrapText="1"/>
    </xf>
    <xf numFmtId="176" fontId="4" fillId="0" borderId="1" xfId="76" applyNumberFormat="1" applyFont="1" applyFill="1" applyBorder="1" applyAlignment="1">
      <alignment horizontal="right" vertical="center"/>
    </xf>
    <xf numFmtId="176" fontId="12" fillId="0" borderId="1" xfId="76" applyNumberFormat="1" applyFont="1" applyFill="1" applyBorder="1" applyAlignment="1">
      <alignment vertical="center"/>
    </xf>
    <xf numFmtId="176" fontId="4" fillId="0" borderId="2" xfId="76" applyNumberFormat="1" applyFont="1" applyFill="1" applyBorder="1" applyAlignment="1">
      <alignment horizontal="right" vertical="center"/>
    </xf>
    <xf numFmtId="0" fontId="4" fillId="0" borderId="1" xfId="76" applyFont="1" applyFill="1" applyBorder="1" applyAlignment="1">
      <alignment horizontal="left" vertical="center" wrapText="1"/>
    </xf>
    <xf numFmtId="176" fontId="12" fillId="0" borderId="1" xfId="76" applyNumberFormat="1" applyFont="1" applyFill="1" applyBorder="1" applyAlignment="1">
      <alignment horizontal="right" vertical="center"/>
    </xf>
    <xf numFmtId="176" fontId="12" fillId="0" borderId="1" xfId="76" applyNumberFormat="1" applyFont="1" applyFill="1" applyBorder="1" applyAlignment="1">
      <alignment vertical="center" wrapText="1"/>
    </xf>
    <xf numFmtId="0" fontId="16" fillId="0" borderId="1" xfId="76" applyFont="1" applyFill="1" applyBorder="1" applyAlignment="1">
      <alignment vertical="center" wrapText="1"/>
    </xf>
    <xf numFmtId="178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>
      <alignment vertical="center"/>
    </xf>
    <xf numFmtId="0" fontId="19" fillId="3" borderId="0" xfId="76" applyFont="1" applyFill="1" applyAlignment="1">
      <alignment horizontal="center" vertical="center"/>
    </xf>
    <xf numFmtId="177" fontId="4" fillId="0" borderId="0" xfId="76" applyNumberFormat="1" applyFont="1" applyFill="1" applyBorder="1" applyAlignment="1">
      <alignment horizontal="center" vertical="center"/>
    </xf>
    <xf numFmtId="177" fontId="4" fillId="0" borderId="5" xfId="76" applyNumberFormat="1" applyFont="1" applyFill="1" applyBorder="1" applyAlignment="1">
      <alignment horizontal="center" vertical="center"/>
    </xf>
    <xf numFmtId="177" fontId="4" fillId="3" borderId="5" xfId="76" applyNumberFormat="1" applyFont="1" applyFill="1" applyBorder="1" applyAlignment="1">
      <alignment horizontal="center" vertical="center"/>
    </xf>
    <xf numFmtId="0" fontId="4" fillId="0" borderId="0" xfId="76" applyNumberFormat="1" applyFont="1" applyFill="1" applyBorder="1" applyAlignment="1">
      <alignment horizontal="center" vertical="center"/>
    </xf>
    <xf numFmtId="0" fontId="8" fillId="0" borderId="7" xfId="76" applyFont="1" applyFill="1" applyBorder="1" applyAlignment="1">
      <alignment horizontal="center" vertical="center" wrapText="1"/>
    </xf>
    <xf numFmtId="0" fontId="8" fillId="3" borderId="8" xfId="76" applyFont="1" applyFill="1" applyBorder="1" applyAlignment="1">
      <alignment horizontal="center" vertical="center" wrapText="1"/>
    </xf>
    <xf numFmtId="0" fontId="8" fillId="3" borderId="9" xfId="76" applyFont="1" applyFill="1" applyBorder="1" applyAlignment="1">
      <alignment horizontal="center" vertical="center" wrapText="1"/>
    </xf>
    <xf numFmtId="0" fontId="8" fillId="0" borderId="8" xfId="76" applyFont="1" applyFill="1" applyBorder="1" applyAlignment="1">
      <alignment horizontal="center" vertical="center" wrapText="1"/>
    </xf>
    <xf numFmtId="0" fontId="8" fillId="0" borderId="9" xfId="76" applyFont="1" applyFill="1" applyBorder="1" applyAlignment="1">
      <alignment horizontal="center" vertical="center" wrapText="1"/>
    </xf>
    <xf numFmtId="0" fontId="8" fillId="3" borderId="1" xfId="76" applyFont="1" applyFill="1" applyBorder="1" applyAlignment="1">
      <alignment horizontal="center" vertical="center" wrapText="1"/>
    </xf>
    <xf numFmtId="176" fontId="4" fillId="4" borderId="1" xfId="76" applyNumberFormat="1" applyFont="1" applyFill="1" applyBorder="1" applyAlignment="1">
      <alignment horizontal="right" vertical="center"/>
    </xf>
    <xf numFmtId="176" fontId="12" fillId="3" borderId="1" xfId="76" applyNumberFormat="1" applyFont="1" applyFill="1" applyBorder="1" applyAlignment="1">
      <alignment horizontal="right" vertical="center"/>
    </xf>
    <xf numFmtId="176" fontId="12" fillId="4" borderId="1" xfId="76" applyNumberFormat="1" applyFont="1" applyFill="1" applyBorder="1" applyAlignment="1">
      <alignment horizontal="right" vertical="center"/>
    </xf>
    <xf numFmtId="179" fontId="19" fillId="0" borderId="0" xfId="76" applyNumberFormat="1" applyFont="1" applyFill="1" applyAlignment="1">
      <alignment horizontal="center" vertical="center"/>
    </xf>
    <xf numFmtId="10" fontId="4" fillId="0" borderId="5" xfId="76" applyNumberFormat="1" applyFont="1" applyFill="1" applyBorder="1" applyAlignment="1">
      <alignment horizontal="right" vertical="center"/>
    </xf>
    <xf numFmtId="179" fontId="4" fillId="0" borderId="5" xfId="76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79" fontId="8" fillId="0" borderId="11" xfId="0" applyNumberFormat="1" applyFont="1" applyFill="1" applyBorder="1" applyAlignment="1">
      <alignment horizontal="center" vertical="center" wrapText="1"/>
    </xf>
    <xf numFmtId="179" fontId="8" fillId="0" borderId="12" xfId="0" applyNumberFormat="1" applyFont="1" applyFill="1" applyBorder="1" applyAlignment="1">
      <alignment horizontal="center" vertical="center" wrapText="1"/>
    </xf>
    <xf numFmtId="179" fontId="8" fillId="0" borderId="13" xfId="0" applyNumberFormat="1" applyFont="1" applyFill="1" applyBorder="1" applyAlignment="1">
      <alignment horizontal="center" vertical="center" wrapText="1"/>
    </xf>
    <xf numFmtId="179" fontId="8" fillId="0" borderId="1" xfId="76" applyNumberFormat="1" applyFont="1" applyFill="1" applyBorder="1" applyAlignment="1">
      <alignment horizontal="center" vertical="center" wrapText="1"/>
    </xf>
    <xf numFmtId="179" fontId="4" fillId="3" borderId="1" xfId="76" applyNumberFormat="1" applyFont="1" applyFill="1" applyBorder="1" applyAlignment="1">
      <alignment horizontal="right" vertical="center"/>
    </xf>
    <xf numFmtId="179" fontId="4" fillId="3" borderId="1" xfId="76" applyNumberFormat="1" applyFont="1" applyFill="1" applyBorder="1" applyAlignment="1">
      <alignment horizontal="center" vertical="center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Accent2 - 40%" xfId="6"/>
    <cellStyle name="40% - 强调文字颜色 3" xfId="7" builtinId="39"/>
    <cellStyle name="差" xfId="8" builtinId="27"/>
    <cellStyle name="千位分隔" xfId="9" builtinId="3"/>
    <cellStyle name="超链接" xfId="10" builtinId="8"/>
    <cellStyle name="Accent2 - 60%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2019年项目调整表最新2019.11.21修改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Accent3 - 20%" xfId="34"/>
    <cellStyle name="好" xfId="35" builtinId="26"/>
    <cellStyle name="适中" xfId="36" builtinId="28"/>
    <cellStyle name="Accent4 - 20%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2018年预算调整表12.24(不得以修改报闽侯上会定稿)_2019年项目调整表最新2019.11.7（基金修改） 2" xfId="44"/>
    <cellStyle name="强调文字颜色 3" xfId="45" builtinId="37"/>
    <cellStyle name="强调文字颜色 4" xfId="46" builtinId="41"/>
    <cellStyle name="20% - 强调文字颜色 4" xfId="47" builtinId="42"/>
    <cellStyle name="Accent3 - 40%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Accent1" xfId="56"/>
    <cellStyle name="Accent1 - 20%" xfId="57"/>
    <cellStyle name="Accent1 - 40%" xfId="58"/>
    <cellStyle name="Accent1 - 60%" xfId="59"/>
    <cellStyle name="Accent2" xfId="60"/>
    <cellStyle name="Accent2 - 20%" xfId="61"/>
    <cellStyle name="Accent3" xfId="62"/>
    <cellStyle name="Accent3 - 60%" xfId="63"/>
    <cellStyle name="Accent4" xfId="64"/>
    <cellStyle name="Accent4 - 40%" xfId="65"/>
    <cellStyle name="Accent4 - 60%" xfId="66"/>
    <cellStyle name="Accent5" xfId="67"/>
    <cellStyle name="Accent5 - 20%" xfId="68"/>
    <cellStyle name="Accent5 - 40%" xfId="69"/>
    <cellStyle name="Accent5 - 60%" xfId="70"/>
    <cellStyle name="Accent6" xfId="71"/>
    <cellStyle name="Accent6 - 20%" xfId="72"/>
    <cellStyle name="Accent6 - 40%" xfId="73"/>
    <cellStyle name="Accent6 - 60%" xfId="74"/>
    <cellStyle name="表标题" xfId="75"/>
    <cellStyle name="常规 2" xfId="76"/>
    <cellStyle name="常规 2 2" xfId="77"/>
    <cellStyle name="强调 3" xfId="78"/>
    <cellStyle name="常规 22" xfId="79"/>
    <cellStyle name="常规_2018年预算调整表12.24(不得以修改报闽侯上会定稿) 2" xfId="80"/>
    <cellStyle name="常规_2019年项目调整表最新2019.11.21修改" xfId="81"/>
    <cellStyle name="常规_2019年项目调整表最新2019.11.21修改1 2" xfId="82"/>
    <cellStyle name="强调 1" xfId="83"/>
    <cellStyle name="强调 2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3"/>
  <sheetViews>
    <sheetView tabSelected="1" view="pageBreakPreview" zoomScaleNormal="100" workbookViewId="0">
      <pane xSplit="7" ySplit="4" topLeftCell="H29" activePane="bottomRight" state="frozen"/>
      <selection/>
      <selection pane="topRight"/>
      <selection pane="bottomLeft"/>
      <selection pane="bottomRight" activeCell="W55" sqref="W55"/>
    </sheetView>
  </sheetViews>
  <sheetFormatPr defaultColWidth="9" defaultRowHeight="13.5"/>
  <cols>
    <col min="1" max="1" width="16.625" style="95" customWidth="1"/>
    <col min="2" max="2" width="0.125" style="93" hidden="1" customWidth="1"/>
    <col min="3" max="3" width="13.875" style="93" hidden="1" customWidth="1"/>
    <col min="4" max="4" width="12" style="93" hidden="1" customWidth="1"/>
    <col min="5" max="7" width="13.25" style="96" hidden="1" customWidth="1"/>
    <col min="8" max="9" width="11.5" style="96" customWidth="1"/>
    <col min="10" max="10" width="10.625" style="96" customWidth="1"/>
    <col min="11" max="11" width="11.5" style="96" customWidth="1"/>
    <col min="12" max="12" width="11.5" style="88" customWidth="1"/>
    <col min="13" max="13" width="9.875" style="90" customWidth="1"/>
    <col min="14" max="14" width="0.125" style="96" hidden="1" customWidth="1"/>
    <col min="15" max="16" width="11.5" style="96" hidden="1" customWidth="1"/>
    <col min="17" max="17" width="10.5" style="96" customWidth="1"/>
    <col min="18" max="18" width="11" style="96" customWidth="1"/>
    <col min="19" max="19" width="10.25" style="96" customWidth="1"/>
    <col min="20" max="20" width="9.375" style="97" customWidth="1"/>
    <col min="21" max="21" width="8.75" style="97" customWidth="1"/>
    <col min="22" max="22" width="8.5" style="98" customWidth="1"/>
    <col min="23" max="23" width="11.625" style="96"/>
    <col min="24" max="16384" width="9" style="96"/>
  </cols>
  <sheetData>
    <row r="1" ht="20.25" spans="1:2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15"/>
      <c r="M1" s="115"/>
      <c r="N1" s="99"/>
      <c r="O1" s="99"/>
      <c r="P1" s="99"/>
      <c r="Q1" s="99"/>
      <c r="R1" s="99"/>
      <c r="S1" s="99"/>
      <c r="T1" s="129"/>
      <c r="U1" s="129"/>
      <c r="V1" s="129"/>
    </row>
    <row r="2" s="87" customFormat="1" ht="22.5" customHeight="1" spans="1:22">
      <c r="A2" s="100" t="s">
        <v>1</v>
      </c>
      <c r="B2" s="100"/>
      <c r="C2" s="100"/>
      <c r="D2" s="100"/>
      <c r="E2" s="100"/>
      <c r="F2" s="100"/>
      <c r="G2" s="100"/>
      <c r="H2" s="100"/>
      <c r="I2" s="116"/>
      <c r="J2" s="116"/>
      <c r="K2" s="117" t="s">
        <v>2</v>
      </c>
      <c r="L2" s="118"/>
      <c r="M2" s="118"/>
      <c r="N2" s="119"/>
      <c r="O2" s="116"/>
      <c r="P2" s="116"/>
      <c r="Q2" s="130" t="s">
        <v>3</v>
      </c>
      <c r="R2" s="130"/>
      <c r="S2" s="130"/>
      <c r="T2" s="131"/>
      <c r="U2" s="131"/>
      <c r="V2" s="131"/>
    </row>
    <row r="3" ht="24" customHeight="1" spans="1:22">
      <c r="A3" s="12" t="s">
        <v>4</v>
      </c>
      <c r="B3" s="12" t="s">
        <v>5</v>
      </c>
      <c r="C3" s="12"/>
      <c r="D3" s="12"/>
      <c r="E3" s="12" t="s">
        <v>6</v>
      </c>
      <c r="F3" s="12"/>
      <c r="G3" s="12"/>
      <c r="H3" s="12" t="s">
        <v>7</v>
      </c>
      <c r="I3" s="12"/>
      <c r="J3" s="12"/>
      <c r="K3" s="120" t="s">
        <v>8</v>
      </c>
      <c r="L3" s="121"/>
      <c r="M3" s="122"/>
      <c r="N3" s="120" t="s">
        <v>9</v>
      </c>
      <c r="O3" s="123"/>
      <c r="P3" s="124"/>
      <c r="Q3" s="132" t="s">
        <v>10</v>
      </c>
      <c r="R3" s="133"/>
      <c r="S3" s="134"/>
      <c r="T3" s="135" t="s">
        <v>11</v>
      </c>
      <c r="U3" s="136"/>
      <c r="V3" s="137"/>
    </row>
    <row r="4" ht="24" customHeight="1" spans="1:22">
      <c r="A4" s="12"/>
      <c r="B4" s="12" t="s">
        <v>12</v>
      </c>
      <c r="C4" s="12" t="s">
        <v>13</v>
      </c>
      <c r="D4" s="12" t="s">
        <v>14</v>
      </c>
      <c r="E4" s="12" t="s">
        <v>12</v>
      </c>
      <c r="F4" s="12" t="s">
        <v>13</v>
      </c>
      <c r="G4" s="12" t="s">
        <v>14</v>
      </c>
      <c r="H4" s="12" t="s">
        <v>12</v>
      </c>
      <c r="I4" s="12" t="s">
        <v>13</v>
      </c>
      <c r="J4" s="12" t="s">
        <v>14</v>
      </c>
      <c r="K4" s="12" t="s">
        <v>12</v>
      </c>
      <c r="L4" s="125" t="s">
        <v>13</v>
      </c>
      <c r="M4" s="125" t="s">
        <v>14</v>
      </c>
      <c r="N4" s="12" t="s">
        <v>12</v>
      </c>
      <c r="O4" s="12" t="s">
        <v>13</v>
      </c>
      <c r="P4" s="12" t="s">
        <v>14</v>
      </c>
      <c r="Q4" s="12" t="s">
        <v>12</v>
      </c>
      <c r="R4" s="12" t="s">
        <v>13</v>
      </c>
      <c r="S4" s="12" t="s">
        <v>14</v>
      </c>
      <c r="T4" s="138" t="s">
        <v>12</v>
      </c>
      <c r="U4" s="138" t="s">
        <v>13</v>
      </c>
      <c r="V4" s="138" t="s">
        <v>14</v>
      </c>
    </row>
    <row r="5" s="88" customFormat="1" ht="35.25" customHeight="1" spans="1:22">
      <c r="A5" s="101" t="s">
        <v>15</v>
      </c>
      <c r="B5" s="102">
        <f>B6+B11</f>
        <v>2261428.14</v>
      </c>
      <c r="C5" s="102">
        <f>C6+C11</f>
        <v>1527473.14</v>
      </c>
      <c r="D5" s="102">
        <f>D6+D11</f>
        <v>733955</v>
      </c>
      <c r="E5" s="102">
        <f>F5+G5</f>
        <v>2100808.926174</v>
      </c>
      <c r="F5" s="102">
        <f>F6+F11</f>
        <v>1363436.833391</v>
      </c>
      <c r="G5" s="102">
        <f>G6+G11</f>
        <v>737372.092783</v>
      </c>
      <c r="H5" s="102">
        <f>H6+H11</f>
        <v>2525698.8246601</v>
      </c>
      <c r="I5" s="102">
        <f t="shared" ref="I5:S5" si="0">I6+I11</f>
        <v>1657166.7646601</v>
      </c>
      <c r="J5" s="102">
        <f t="shared" si="0"/>
        <v>868532.06</v>
      </c>
      <c r="K5" s="102">
        <f>L5+M5</f>
        <v>2100575</v>
      </c>
      <c r="L5" s="102">
        <f t="shared" si="0"/>
        <v>1402148</v>
      </c>
      <c r="M5" s="102">
        <f t="shared" si="0"/>
        <v>698427</v>
      </c>
      <c r="N5" s="102">
        <f t="shared" si="0"/>
        <v>0</v>
      </c>
      <c r="O5" s="102">
        <f t="shared" si="0"/>
        <v>0</v>
      </c>
      <c r="P5" s="102">
        <f t="shared" si="0"/>
        <v>568305.33</v>
      </c>
      <c r="Q5" s="102">
        <f>R5+S5</f>
        <v>-425123.8246601</v>
      </c>
      <c r="R5" s="102">
        <f>L5-I5</f>
        <v>-255018.7646601</v>
      </c>
      <c r="S5" s="102">
        <f t="shared" si="0"/>
        <v>-170105.06</v>
      </c>
      <c r="T5" s="139">
        <f>Q5/H5*100</f>
        <v>-16.8319286729411</v>
      </c>
      <c r="U5" s="139">
        <f>(L5-I5)/I5*100</f>
        <v>-15.3888413706153</v>
      </c>
      <c r="V5" s="140">
        <f>(S5/J5)*100</f>
        <v>-19.5853518636952</v>
      </c>
    </row>
    <row r="6" s="89" customFormat="1" ht="35.25" customHeight="1" spans="1:22">
      <c r="A6" s="101" t="s">
        <v>16</v>
      </c>
      <c r="B6" s="102">
        <f>B12+B37</f>
        <v>1211115.14</v>
      </c>
      <c r="C6" s="102">
        <f>C12+C37</f>
        <v>977473.14</v>
      </c>
      <c r="D6" s="102">
        <f>D12+D37</f>
        <v>233642</v>
      </c>
      <c r="E6" s="102">
        <f t="shared" ref="E6:E13" si="1">F6+G6</f>
        <v>1267633.561671</v>
      </c>
      <c r="F6" s="102">
        <f>F12+F37</f>
        <v>1028659.905313</v>
      </c>
      <c r="G6" s="102">
        <f>G12+G37</f>
        <v>238973.656358</v>
      </c>
      <c r="H6" s="102">
        <f>H12+H37</f>
        <v>1305698.8246601</v>
      </c>
      <c r="I6" s="102">
        <f t="shared" ref="I6:S6" si="2">I12+I37</f>
        <v>1057166.7646601</v>
      </c>
      <c r="J6" s="102">
        <f t="shared" si="2"/>
        <v>248532.06</v>
      </c>
      <c r="K6" s="102">
        <f t="shared" si="2"/>
        <v>1151959</v>
      </c>
      <c r="L6" s="102">
        <v>902148</v>
      </c>
      <c r="M6" s="102">
        <f>M12+M37</f>
        <v>249811</v>
      </c>
      <c r="N6" s="102">
        <f t="shared" si="2"/>
        <v>0</v>
      </c>
      <c r="O6" s="102">
        <f t="shared" si="2"/>
        <v>0</v>
      </c>
      <c r="P6" s="102">
        <f t="shared" si="2"/>
        <v>257305.33</v>
      </c>
      <c r="Q6" s="102">
        <f t="shared" ref="Q6:Q63" si="3">R6+S6</f>
        <v>-153739.8246601</v>
      </c>
      <c r="R6" s="102">
        <f t="shared" ref="R6:R63" si="4">L6-I6</f>
        <v>-155018.7646601</v>
      </c>
      <c r="S6" s="102">
        <f t="shared" si="2"/>
        <v>1278.94</v>
      </c>
      <c r="T6" s="139">
        <f t="shared" ref="T6:T63" si="5">Q6/H6*100</f>
        <v>-11.7745242437605</v>
      </c>
      <c r="U6" s="139">
        <f t="shared" ref="U6:U63" si="6">(L6-I6)/I6*100</f>
        <v>-14.6636055769254</v>
      </c>
      <c r="V6" s="140">
        <f t="shared" ref="V6:V60" si="7">(S6/J6)*100</f>
        <v>0.514597593565997</v>
      </c>
    </row>
    <row r="7" s="88" customFormat="1" ht="31.5" customHeight="1" spans="1:23">
      <c r="A7" s="101" t="s">
        <v>17</v>
      </c>
      <c r="B7" s="102">
        <f>B12-B9</f>
        <v>443292.8</v>
      </c>
      <c r="C7" s="102">
        <f>C12-C9</f>
        <v>358398.8</v>
      </c>
      <c r="D7" s="102">
        <f>D12-D9</f>
        <v>84894</v>
      </c>
      <c r="E7" s="102">
        <f t="shared" si="1"/>
        <v>466918.5</v>
      </c>
      <c r="F7" s="102">
        <f>F12-F9</f>
        <v>389153.5</v>
      </c>
      <c r="G7" s="102">
        <v>77765</v>
      </c>
      <c r="H7" s="102">
        <f>H12-H9</f>
        <v>480962.72</v>
      </c>
      <c r="I7" s="102">
        <f>I12-I9</f>
        <v>398475.62</v>
      </c>
      <c r="J7" s="102">
        <f>J12-J9</f>
        <v>82487.1</v>
      </c>
      <c r="K7" s="102">
        <f t="shared" ref="K7:K63" si="8">L7+M7</f>
        <v>433878</v>
      </c>
      <c r="L7" s="102">
        <f>L6-L8</f>
        <v>351723</v>
      </c>
      <c r="M7" s="102">
        <v>82155</v>
      </c>
      <c r="N7" s="102"/>
      <c r="O7" s="102"/>
      <c r="P7" s="126">
        <f t="shared" ref="P7:P52" si="9">M7*1.03</f>
        <v>84619.65</v>
      </c>
      <c r="Q7" s="102">
        <f t="shared" si="3"/>
        <v>-47084.7200000001</v>
      </c>
      <c r="R7" s="102">
        <f t="shared" si="4"/>
        <v>-46752.6200000001</v>
      </c>
      <c r="S7" s="102">
        <f t="shared" ref="S7:S63" si="10">M7-J7</f>
        <v>-332.100000000006</v>
      </c>
      <c r="T7" s="139">
        <f t="shared" si="5"/>
        <v>-9.7896818281467</v>
      </c>
      <c r="U7" s="139">
        <f t="shared" si="6"/>
        <v>-11.7328683747327</v>
      </c>
      <c r="V7" s="140">
        <f t="shared" si="7"/>
        <v>-0.402608407860145</v>
      </c>
      <c r="W7" s="89"/>
    </row>
    <row r="8" s="89" customFormat="1" ht="34.5" customHeight="1" spans="1:22">
      <c r="A8" s="103" t="s">
        <v>18</v>
      </c>
      <c r="B8" s="102">
        <f>B9+B10</f>
        <v>767822.34</v>
      </c>
      <c r="C8" s="102">
        <f>C9+C10</f>
        <v>619074.34</v>
      </c>
      <c r="D8" s="102">
        <f>D9+D10</f>
        <v>148748</v>
      </c>
      <c r="E8" s="102">
        <f t="shared" si="1"/>
        <v>800715.711671</v>
      </c>
      <c r="F8" s="102">
        <f>F9+F10</f>
        <v>639506.405313</v>
      </c>
      <c r="G8" s="102">
        <f>G9+G10</f>
        <v>161209.306358</v>
      </c>
      <c r="H8" s="102">
        <f>H9+H10</f>
        <v>824736.1046601</v>
      </c>
      <c r="I8" s="102">
        <f t="shared" ref="I8:S8" si="11">I9+I10</f>
        <v>658691.1446601</v>
      </c>
      <c r="J8" s="102">
        <f t="shared" si="11"/>
        <v>166044.96</v>
      </c>
      <c r="K8" s="102">
        <f t="shared" si="11"/>
        <v>718083</v>
      </c>
      <c r="L8" s="102">
        <f t="shared" si="11"/>
        <v>550425</v>
      </c>
      <c r="M8" s="102">
        <f t="shared" si="11"/>
        <v>167658</v>
      </c>
      <c r="N8" s="102">
        <f t="shared" si="11"/>
        <v>0</v>
      </c>
      <c r="O8" s="102">
        <f t="shared" si="11"/>
        <v>0</v>
      </c>
      <c r="P8" s="102">
        <f t="shared" si="11"/>
        <v>172687.74</v>
      </c>
      <c r="Q8" s="102">
        <f t="shared" si="3"/>
        <v>-106653.1046601</v>
      </c>
      <c r="R8" s="102">
        <f t="shared" si="4"/>
        <v>-108266.1446601</v>
      </c>
      <c r="S8" s="102">
        <f t="shared" si="11"/>
        <v>1613.04000000001</v>
      </c>
      <c r="T8" s="139">
        <f t="shared" si="5"/>
        <v>-12.9317855805591</v>
      </c>
      <c r="U8" s="139">
        <f t="shared" si="6"/>
        <v>-16.4365568806861</v>
      </c>
      <c r="V8" s="140">
        <f t="shared" si="7"/>
        <v>0.971447733192268</v>
      </c>
    </row>
    <row r="9" s="88" customFormat="1" ht="24" customHeight="1" spans="1:22">
      <c r="A9" s="104" t="s">
        <v>19</v>
      </c>
      <c r="B9" s="102">
        <f>(B13+B21)*0.5+(B22+B25)*0.4+B26+B27+B28+B29+B30+B31+B32+B33+B34+B35</f>
        <v>617822.2</v>
      </c>
      <c r="C9" s="102">
        <f>(C13+C21)*0.5+(C22+C25)*0.4+C26+C27+C28+C29+C30+C31+C32+C33+C34+C35</f>
        <v>492589.2</v>
      </c>
      <c r="D9" s="102">
        <f>(D13+D21)*0.5+(D22+D25)*0.4+D26+D27+D28+D29+D30+D31+D32+D33+D34+D35</f>
        <v>125233</v>
      </c>
      <c r="E9" s="102">
        <f t="shared" si="1"/>
        <v>511064.512341</v>
      </c>
      <c r="F9" s="102">
        <f>(F13+F21)*0.5+(F22+F25)*0.4+F26+F27+F28+F29+F30+F31+F32+F33+F34+F35</f>
        <v>383219.313337</v>
      </c>
      <c r="G9" s="102">
        <f>(G13+G21)*0.5+(G22+G25)*0.4+G26+G27+G28+G29+G30+G31+G32+G33+G34+G35</f>
        <v>127845.199004</v>
      </c>
      <c r="H9" s="102">
        <f>(H13+H21)*0.5+(H22+H25)*0.4+H26+H27+H28+H29+H30+H31+H32+H33+H34+H35</f>
        <v>674736.2646601</v>
      </c>
      <c r="I9" s="102">
        <f>(I13+I21)*0.5+(I22+I25)*0.4+I26+I27+I28+I29+I30+I31+I32+I33+I34+I35</f>
        <v>541621.3046601</v>
      </c>
      <c r="J9" s="102">
        <f>(J13+J21)*0.5+(J22+J25)*0.4+J26+J27+J28+J29+J30+J31+J32+J33+J34+J35</f>
        <v>133114.96</v>
      </c>
      <c r="K9" s="102">
        <f t="shared" si="8"/>
        <v>482191</v>
      </c>
      <c r="L9" s="102">
        <v>359558</v>
      </c>
      <c r="M9" s="102">
        <v>122633</v>
      </c>
      <c r="N9" s="102"/>
      <c r="O9" s="102"/>
      <c r="P9" s="126">
        <f t="shared" si="9"/>
        <v>126311.99</v>
      </c>
      <c r="Q9" s="102">
        <f t="shared" si="3"/>
        <v>-192545.2646601</v>
      </c>
      <c r="R9" s="102">
        <f t="shared" si="4"/>
        <v>-182063.3046601</v>
      </c>
      <c r="S9" s="102">
        <f t="shared" si="10"/>
        <v>-10481.96</v>
      </c>
      <c r="T9" s="139">
        <f t="shared" si="5"/>
        <v>-28.5363740982701</v>
      </c>
      <c r="U9" s="139">
        <f t="shared" si="6"/>
        <v>-33.6145020688128</v>
      </c>
      <c r="V9" s="140">
        <f t="shared" si="7"/>
        <v>-7.87436663767919</v>
      </c>
    </row>
    <row r="10" s="88" customFormat="1" ht="24" customHeight="1" spans="1:22">
      <c r="A10" s="104" t="s">
        <v>20</v>
      </c>
      <c r="B10" s="102">
        <f>B37</f>
        <v>150000.14</v>
      </c>
      <c r="C10" s="102">
        <f>C37</f>
        <v>126485.14</v>
      </c>
      <c r="D10" s="102">
        <f>D37</f>
        <v>23515</v>
      </c>
      <c r="E10" s="102">
        <f t="shared" si="1"/>
        <v>289651.19933</v>
      </c>
      <c r="F10" s="102">
        <f>F37</f>
        <v>256287.091976</v>
      </c>
      <c r="G10" s="102">
        <f>G37</f>
        <v>33364.107354</v>
      </c>
      <c r="H10" s="102">
        <f>H38+H39+H40+H48+H49+H50+H51+H52</f>
        <v>149999.84</v>
      </c>
      <c r="I10" s="102">
        <f t="shared" ref="I10:S10" si="12">I38+I39+I40+I48+I49+I50+I51+I52</f>
        <v>117069.84</v>
      </c>
      <c r="J10" s="102">
        <f t="shared" si="12"/>
        <v>32930</v>
      </c>
      <c r="K10" s="102">
        <f t="shared" si="12"/>
        <v>235892</v>
      </c>
      <c r="L10" s="102">
        <f t="shared" si="12"/>
        <v>190867</v>
      </c>
      <c r="M10" s="102">
        <f t="shared" si="12"/>
        <v>45025</v>
      </c>
      <c r="N10" s="102">
        <f t="shared" si="12"/>
        <v>0</v>
      </c>
      <c r="O10" s="102">
        <f t="shared" si="12"/>
        <v>0</v>
      </c>
      <c r="P10" s="102">
        <f t="shared" si="12"/>
        <v>46375.75</v>
      </c>
      <c r="Q10" s="102">
        <f t="shared" si="12"/>
        <v>85892.16</v>
      </c>
      <c r="R10" s="102">
        <f t="shared" si="12"/>
        <v>73797.16</v>
      </c>
      <c r="S10" s="102">
        <f t="shared" si="12"/>
        <v>12095</v>
      </c>
      <c r="T10" s="139">
        <f t="shared" si="5"/>
        <v>57.2615010789345</v>
      </c>
      <c r="U10" s="139">
        <f t="shared" si="6"/>
        <v>63.0368675655489</v>
      </c>
      <c r="V10" s="140">
        <f t="shared" si="7"/>
        <v>36.7294260552688</v>
      </c>
    </row>
    <row r="11" s="88" customFormat="1" ht="24" customHeight="1" spans="1:22">
      <c r="A11" s="104" t="s">
        <v>21</v>
      </c>
      <c r="B11" s="102">
        <f>B54</f>
        <v>1050313</v>
      </c>
      <c r="C11" s="102">
        <f>C54</f>
        <v>550000</v>
      </c>
      <c r="D11" s="102">
        <f>D54</f>
        <v>500313</v>
      </c>
      <c r="E11" s="102">
        <f t="shared" si="1"/>
        <v>833175.364503</v>
      </c>
      <c r="F11" s="102">
        <f>F54</f>
        <v>334776.928078</v>
      </c>
      <c r="G11" s="102">
        <f>G54</f>
        <v>498398.436425</v>
      </c>
      <c r="H11" s="102">
        <f>H54</f>
        <v>1220000</v>
      </c>
      <c r="I11" s="102">
        <f>I54</f>
        <v>600000</v>
      </c>
      <c r="J11" s="102">
        <f>J54</f>
        <v>620000</v>
      </c>
      <c r="K11" s="102">
        <f>L11+M11</f>
        <v>948616</v>
      </c>
      <c r="L11" s="102">
        <v>500000</v>
      </c>
      <c r="M11" s="102">
        <f t="shared" ref="M11" si="13">M54</f>
        <v>448616</v>
      </c>
      <c r="N11" s="102"/>
      <c r="O11" s="102"/>
      <c r="P11" s="126">
        <f t="shared" ref="P11" si="14">P54</f>
        <v>311000</v>
      </c>
      <c r="Q11" s="102">
        <f t="shared" si="3"/>
        <v>-271384</v>
      </c>
      <c r="R11" s="102">
        <f t="shared" si="4"/>
        <v>-100000</v>
      </c>
      <c r="S11" s="102">
        <f t="shared" si="10"/>
        <v>-171384</v>
      </c>
      <c r="T11" s="139">
        <f t="shared" si="5"/>
        <v>-22.2445901639344</v>
      </c>
      <c r="U11" s="139">
        <f t="shared" si="6"/>
        <v>-16.6666666666667</v>
      </c>
      <c r="V11" s="140">
        <f t="shared" si="7"/>
        <v>-27.6425806451613</v>
      </c>
    </row>
    <row r="12" s="90" customFormat="1" ht="30.75" customHeight="1" spans="1:22">
      <c r="A12" s="101" t="s">
        <v>22</v>
      </c>
      <c r="B12" s="102">
        <f t="shared" ref="B12:S12" si="15">B13+B18+B21+B22+B25+B26+B27+B28+B29+B30+B31+B32+B33+B34+B35+B36</f>
        <v>1061115</v>
      </c>
      <c r="C12" s="102">
        <f t="shared" si="15"/>
        <v>850988</v>
      </c>
      <c r="D12" s="102">
        <f t="shared" si="15"/>
        <v>210127</v>
      </c>
      <c r="E12" s="102">
        <f t="shared" si="15"/>
        <v>977982.362341</v>
      </c>
      <c r="F12" s="102">
        <f t="shared" si="15"/>
        <v>772372.813337</v>
      </c>
      <c r="G12" s="102">
        <f t="shared" si="15"/>
        <v>205609.549004</v>
      </c>
      <c r="H12" s="102">
        <f t="shared" si="15"/>
        <v>1155698.9846601</v>
      </c>
      <c r="I12" s="102">
        <f t="shared" si="15"/>
        <v>940096.9246601</v>
      </c>
      <c r="J12" s="102">
        <f t="shared" si="15"/>
        <v>215602.06</v>
      </c>
      <c r="K12" s="102">
        <f t="shared" si="8"/>
        <v>916067</v>
      </c>
      <c r="L12" s="102">
        <f>L13+L18+L21+L22+L25+L26+L27+L28+L29+L30+L31+L32+L33+L34+L35+L36</f>
        <v>711281</v>
      </c>
      <c r="M12" s="102">
        <f t="shared" si="15"/>
        <v>204786</v>
      </c>
      <c r="N12" s="102">
        <f t="shared" si="15"/>
        <v>0</v>
      </c>
      <c r="O12" s="102">
        <f t="shared" si="15"/>
        <v>0</v>
      </c>
      <c r="P12" s="102">
        <f t="shared" si="15"/>
        <v>210929.58</v>
      </c>
      <c r="Q12" s="102">
        <f t="shared" si="3"/>
        <v>-239631.9846601</v>
      </c>
      <c r="R12" s="102">
        <f t="shared" si="4"/>
        <v>-228815.9246601</v>
      </c>
      <c r="S12" s="102">
        <f t="shared" si="15"/>
        <v>-10816.06</v>
      </c>
      <c r="T12" s="139">
        <f t="shared" si="5"/>
        <v>-20.7348096555244</v>
      </c>
      <c r="U12" s="139">
        <f t="shared" si="6"/>
        <v>-24.339609954881</v>
      </c>
      <c r="V12" s="140">
        <f t="shared" si="7"/>
        <v>-5.01667748443591</v>
      </c>
    </row>
    <row r="13" s="90" customFormat="1" ht="24" customHeight="1" spans="1:22">
      <c r="A13" s="104" t="s">
        <v>23</v>
      </c>
      <c r="B13" s="102">
        <f>SUM(B14:B15)</f>
        <v>462236</v>
      </c>
      <c r="C13" s="102">
        <f>SUM(C14:C15)</f>
        <v>390536</v>
      </c>
      <c r="D13" s="102">
        <f>SUM(D14:D15)</f>
        <v>71700</v>
      </c>
      <c r="E13" s="102">
        <f t="shared" si="1"/>
        <v>389931.9</v>
      </c>
      <c r="F13" s="102">
        <f>SUM(F14:F15)</f>
        <v>330598</v>
      </c>
      <c r="G13" s="102">
        <f>SUM(G14:G15)</f>
        <v>59333.9</v>
      </c>
      <c r="H13" s="102">
        <f>SUM(H14:H15)</f>
        <v>406716.92</v>
      </c>
      <c r="I13" s="102">
        <f>SUM(I14:I15)</f>
        <v>343821.92</v>
      </c>
      <c r="J13" s="102">
        <f>SUM(J14:J15)</f>
        <v>62895</v>
      </c>
      <c r="K13" s="102">
        <f t="shared" si="8"/>
        <v>380198</v>
      </c>
      <c r="L13" s="102">
        <v>299000</v>
      </c>
      <c r="M13" s="102">
        <f>SUM(M14:M17)</f>
        <v>81198</v>
      </c>
      <c r="N13" s="102"/>
      <c r="O13" s="102"/>
      <c r="P13" s="126">
        <f t="shared" si="9"/>
        <v>83633.94</v>
      </c>
      <c r="Q13" s="102">
        <f t="shared" si="3"/>
        <v>-26518.92</v>
      </c>
      <c r="R13" s="102">
        <f t="shared" si="4"/>
        <v>-44821.92</v>
      </c>
      <c r="S13" s="102">
        <f t="shared" si="10"/>
        <v>18303</v>
      </c>
      <c r="T13" s="139">
        <f t="shared" si="5"/>
        <v>-6.5202401709769</v>
      </c>
      <c r="U13" s="139">
        <f t="shared" si="6"/>
        <v>-13.036376505605</v>
      </c>
      <c r="V13" s="140">
        <f t="shared" si="7"/>
        <v>29.1008824230861</v>
      </c>
    </row>
    <row r="14" s="91" customFormat="1" ht="31.5" customHeight="1" spans="1:22">
      <c r="A14" s="105" t="s">
        <v>24</v>
      </c>
      <c r="B14" s="106">
        <f t="shared" ref="B14:B22" si="16">C14+D14</f>
        <v>323936</v>
      </c>
      <c r="C14" s="106">
        <v>305536</v>
      </c>
      <c r="D14" s="107">
        <v>18400</v>
      </c>
      <c r="E14" s="106">
        <f t="shared" ref="E14:E46" si="17">F14+G14</f>
        <v>252018</v>
      </c>
      <c r="F14" s="108">
        <v>239754</v>
      </c>
      <c r="G14" s="108">
        <v>12264</v>
      </c>
      <c r="H14" s="106">
        <f>I14+J14</f>
        <v>262344.16</v>
      </c>
      <c r="I14" s="106">
        <f>F14*1.04</f>
        <v>249344.16</v>
      </c>
      <c r="J14" s="106">
        <v>13000</v>
      </c>
      <c r="K14" s="102">
        <f t="shared" si="8"/>
        <v>21392</v>
      </c>
      <c r="L14" s="102"/>
      <c r="M14" s="102">
        <v>21392</v>
      </c>
      <c r="N14" s="106"/>
      <c r="O14" s="106"/>
      <c r="P14" s="126">
        <f t="shared" si="9"/>
        <v>22033.76</v>
      </c>
      <c r="Q14" s="102">
        <f t="shared" si="3"/>
        <v>-240952.16</v>
      </c>
      <c r="R14" s="102">
        <f t="shared" si="4"/>
        <v>-249344.16</v>
      </c>
      <c r="S14" s="102">
        <f t="shared" si="10"/>
        <v>8392</v>
      </c>
      <c r="T14" s="139">
        <f t="shared" si="5"/>
        <v>-91.8458257275481</v>
      </c>
      <c r="U14" s="139">
        <f t="shared" si="6"/>
        <v>-100</v>
      </c>
      <c r="V14" s="140">
        <f t="shared" si="7"/>
        <v>64.5538461538462</v>
      </c>
    </row>
    <row r="15" s="92" customFormat="1" ht="30" customHeight="1" spans="1:22">
      <c r="A15" s="105" t="s">
        <v>25</v>
      </c>
      <c r="B15" s="106">
        <f t="shared" si="16"/>
        <v>138300</v>
      </c>
      <c r="C15" s="106">
        <v>85000</v>
      </c>
      <c r="D15" s="107">
        <v>53300</v>
      </c>
      <c r="E15" s="106">
        <f t="shared" si="17"/>
        <v>137913.9</v>
      </c>
      <c r="F15" s="108">
        <v>90844</v>
      </c>
      <c r="G15" s="108">
        <v>47069.9</v>
      </c>
      <c r="H15" s="106">
        <f t="shared" ref="H15:H43" si="18">I15+J15</f>
        <v>144372.76</v>
      </c>
      <c r="I15" s="106">
        <f>F15*1.04</f>
        <v>94477.76</v>
      </c>
      <c r="J15" s="106">
        <v>49895</v>
      </c>
      <c r="K15" s="102">
        <f t="shared" si="8"/>
        <v>59806</v>
      </c>
      <c r="L15" s="102"/>
      <c r="M15" s="102">
        <v>59806</v>
      </c>
      <c r="N15" s="106"/>
      <c r="O15" s="106"/>
      <c r="P15" s="126">
        <f t="shared" si="9"/>
        <v>61600.18</v>
      </c>
      <c r="Q15" s="102">
        <f t="shared" si="3"/>
        <v>-84566.76</v>
      </c>
      <c r="R15" s="102">
        <f t="shared" si="4"/>
        <v>-94477.76</v>
      </c>
      <c r="S15" s="102">
        <f t="shared" si="10"/>
        <v>9911</v>
      </c>
      <c r="T15" s="139">
        <f t="shared" si="5"/>
        <v>-58.575288025248</v>
      </c>
      <c r="U15" s="139">
        <f t="shared" si="6"/>
        <v>-100</v>
      </c>
      <c r="V15" s="140">
        <f t="shared" si="7"/>
        <v>19.8637137989779</v>
      </c>
    </row>
    <row r="16" s="93" customFormat="1" ht="24" customHeight="1" spans="1:22">
      <c r="A16" s="109" t="s">
        <v>26</v>
      </c>
      <c r="B16" s="106">
        <f t="shared" si="16"/>
        <v>34000</v>
      </c>
      <c r="C16" s="106">
        <v>34000</v>
      </c>
      <c r="D16" s="107"/>
      <c r="E16" s="106">
        <f t="shared" si="17"/>
        <v>8830</v>
      </c>
      <c r="F16" s="106">
        <v>8830</v>
      </c>
      <c r="G16" s="106"/>
      <c r="H16" s="106">
        <f t="shared" si="18"/>
        <v>9359.8</v>
      </c>
      <c r="I16" s="106">
        <f>F16*1.06</f>
        <v>9359.8</v>
      </c>
      <c r="J16" s="106">
        <v>0</v>
      </c>
      <c r="K16" s="102">
        <f t="shared" si="8"/>
        <v>3100</v>
      </c>
      <c r="L16" s="102">
        <v>3100</v>
      </c>
      <c r="M16" s="102"/>
      <c r="N16" s="106"/>
      <c r="O16" s="106"/>
      <c r="P16" s="126">
        <f t="shared" si="9"/>
        <v>0</v>
      </c>
      <c r="Q16" s="102">
        <f t="shared" si="3"/>
        <v>-6259.8</v>
      </c>
      <c r="R16" s="102">
        <f t="shared" si="4"/>
        <v>-6259.8</v>
      </c>
      <c r="S16" s="102">
        <f t="shared" si="10"/>
        <v>0</v>
      </c>
      <c r="T16" s="139">
        <f t="shared" si="5"/>
        <v>-66.8796341802175</v>
      </c>
      <c r="U16" s="139">
        <f t="shared" si="6"/>
        <v>-66.8796341802175</v>
      </c>
      <c r="V16" s="140"/>
    </row>
    <row r="17" s="93" customFormat="1" ht="24" customHeight="1" spans="1:22">
      <c r="A17" s="105" t="s">
        <v>27</v>
      </c>
      <c r="B17" s="106">
        <f t="shared" si="16"/>
        <v>48000</v>
      </c>
      <c r="C17" s="106">
        <v>48000</v>
      </c>
      <c r="D17" s="107"/>
      <c r="E17" s="106">
        <f t="shared" si="17"/>
        <v>34538</v>
      </c>
      <c r="F17" s="106">
        <v>34538</v>
      </c>
      <c r="G17" s="106"/>
      <c r="H17" s="106">
        <f t="shared" si="18"/>
        <v>36610.28</v>
      </c>
      <c r="I17" s="106">
        <f>F17*1.06</f>
        <v>36610.28</v>
      </c>
      <c r="J17" s="106">
        <v>0</v>
      </c>
      <c r="K17" s="102">
        <f t="shared" si="8"/>
        <v>50000</v>
      </c>
      <c r="L17" s="102">
        <v>50000</v>
      </c>
      <c r="M17" s="102"/>
      <c r="N17" s="106"/>
      <c r="O17" s="106"/>
      <c r="P17" s="126">
        <f t="shared" si="9"/>
        <v>0</v>
      </c>
      <c r="Q17" s="102">
        <f t="shared" si="3"/>
        <v>13389.72</v>
      </c>
      <c r="R17" s="102">
        <f t="shared" si="4"/>
        <v>13389.72</v>
      </c>
      <c r="S17" s="102">
        <f t="shared" si="10"/>
        <v>0</v>
      </c>
      <c r="T17" s="139">
        <f t="shared" si="5"/>
        <v>36.5736618239467</v>
      </c>
      <c r="U17" s="139">
        <f t="shared" si="6"/>
        <v>36.5736618239467</v>
      </c>
      <c r="V17" s="140"/>
    </row>
    <row r="18" s="91" customFormat="1" ht="24" customHeight="1" spans="1:22">
      <c r="A18" s="105" t="s">
        <v>28</v>
      </c>
      <c r="B18" s="106">
        <f t="shared" si="16"/>
        <v>58963</v>
      </c>
      <c r="C18" s="106">
        <v>58813</v>
      </c>
      <c r="D18" s="107">
        <v>150</v>
      </c>
      <c r="E18" s="106">
        <f t="shared" si="17"/>
        <v>70170</v>
      </c>
      <c r="F18" s="108">
        <v>69887</v>
      </c>
      <c r="G18" s="108">
        <v>283</v>
      </c>
      <c r="H18" s="106">
        <f t="shared" si="18"/>
        <v>65428.48</v>
      </c>
      <c r="I18" s="106">
        <f>F18*1.04-8000+296</f>
        <v>64978.48</v>
      </c>
      <c r="J18" s="106">
        <v>450</v>
      </c>
      <c r="K18" s="106">
        <f t="shared" si="8"/>
        <v>69367</v>
      </c>
      <c r="L18" s="102">
        <v>68300</v>
      </c>
      <c r="M18" s="102">
        <v>1067</v>
      </c>
      <c r="N18" s="106"/>
      <c r="O18" s="106"/>
      <c r="P18" s="126">
        <f t="shared" si="9"/>
        <v>1099.01</v>
      </c>
      <c r="Q18" s="102">
        <f t="shared" si="3"/>
        <v>3938.52</v>
      </c>
      <c r="R18" s="102">
        <f t="shared" si="4"/>
        <v>3321.52</v>
      </c>
      <c r="S18" s="102">
        <f t="shared" si="10"/>
        <v>617</v>
      </c>
      <c r="T18" s="139">
        <f t="shared" si="5"/>
        <v>6.01958046404257</v>
      </c>
      <c r="U18" s="139">
        <f t="shared" si="6"/>
        <v>5.1117231428005</v>
      </c>
      <c r="V18" s="140">
        <f t="shared" si="7"/>
        <v>137.111111111111</v>
      </c>
    </row>
    <row r="19" s="93" customFormat="1" ht="24" customHeight="1" spans="1:22">
      <c r="A19" s="109" t="s">
        <v>26</v>
      </c>
      <c r="B19" s="106">
        <f t="shared" si="16"/>
        <v>26000</v>
      </c>
      <c r="C19" s="106">
        <v>26000</v>
      </c>
      <c r="D19" s="107"/>
      <c r="E19" s="106">
        <f t="shared" si="17"/>
        <v>18789</v>
      </c>
      <c r="F19" s="106">
        <v>18789</v>
      </c>
      <c r="G19" s="106"/>
      <c r="H19" s="106">
        <f t="shared" si="18"/>
        <v>19916.34</v>
      </c>
      <c r="I19" s="106">
        <f>F19*1.06</f>
        <v>19916.34</v>
      </c>
      <c r="J19" s="106">
        <v>0</v>
      </c>
      <c r="K19" s="102">
        <f t="shared" si="8"/>
        <v>5964</v>
      </c>
      <c r="L19" s="102">
        <v>5964</v>
      </c>
      <c r="M19" s="102"/>
      <c r="N19" s="106"/>
      <c r="O19" s="106"/>
      <c r="P19" s="126">
        <f t="shared" si="9"/>
        <v>0</v>
      </c>
      <c r="Q19" s="102">
        <f t="shared" si="3"/>
        <v>-13952.34</v>
      </c>
      <c r="R19" s="102">
        <f t="shared" si="4"/>
        <v>-13952.34</v>
      </c>
      <c r="S19" s="102">
        <f t="shared" si="10"/>
        <v>0</v>
      </c>
      <c r="T19" s="139">
        <f t="shared" si="5"/>
        <v>-70.0547389731246</v>
      </c>
      <c r="U19" s="139">
        <f t="shared" si="6"/>
        <v>-70.0547389731246</v>
      </c>
      <c r="V19" s="140"/>
    </row>
    <row r="20" s="93" customFormat="1" ht="24" customHeight="1" spans="1:22">
      <c r="A20" s="105" t="s">
        <v>27</v>
      </c>
      <c r="B20" s="106">
        <f t="shared" si="16"/>
        <v>37000</v>
      </c>
      <c r="C20" s="106">
        <v>37000</v>
      </c>
      <c r="D20" s="107"/>
      <c r="E20" s="106">
        <f t="shared" si="17"/>
        <v>36116</v>
      </c>
      <c r="F20" s="106">
        <v>36116</v>
      </c>
      <c r="G20" s="106"/>
      <c r="H20" s="106">
        <f t="shared" si="18"/>
        <v>38282.96</v>
      </c>
      <c r="I20" s="106">
        <f>F20*1.06</f>
        <v>38282.96</v>
      </c>
      <c r="J20" s="106">
        <v>0</v>
      </c>
      <c r="K20" s="102">
        <f t="shared" si="8"/>
        <v>51700</v>
      </c>
      <c r="L20" s="102">
        <v>51700</v>
      </c>
      <c r="M20" s="102"/>
      <c r="N20" s="106"/>
      <c r="O20" s="106"/>
      <c r="P20" s="126">
        <f t="shared" si="9"/>
        <v>0</v>
      </c>
      <c r="Q20" s="102">
        <f t="shared" si="3"/>
        <v>13417.04</v>
      </c>
      <c r="R20" s="102">
        <f t="shared" si="4"/>
        <v>13417.04</v>
      </c>
      <c r="S20" s="102">
        <f t="shared" si="10"/>
        <v>0</v>
      </c>
      <c r="T20" s="139">
        <f t="shared" si="5"/>
        <v>35.0470287563971</v>
      </c>
      <c r="U20" s="139">
        <f t="shared" si="6"/>
        <v>35.0470287563971</v>
      </c>
      <c r="V20" s="140"/>
    </row>
    <row r="21" s="91" customFormat="1" ht="24" customHeight="1" spans="1:22">
      <c r="A21" s="105" t="s">
        <v>29</v>
      </c>
      <c r="B21" s="106"/>
      <c r="C21" s="106"/>
      <c r="D21" s="107"/>
      <c r="E21" s="106">
        <f t="shared" si="17"/>
        <v>971</v>
      </c>
      <c r="F21" s="108">
        <v>543</v>
      </c>
      <c r="G21" s="108">
        <v>428</v>
      </c>
      <c r="H21" s="106">
        <f t="shared" si="18"/>
        <v>564.72</v>
      </c>
      <c r="I21" s="106">
        <f>F21*1.04</f>
        <v>564.72</v>
      </c>
      <c r="J21" s="106"/>
      <c r="K21" s="102">
        <f t="shared" si="8"/>
        <v>130</v>
      </c>
      <c r="L21" s="102">
        <v>130</v>
      </c>
      <c r="M21" s="102"/>
      <c r="N21" s="106"/>
      <c r="O21" s="106"/>
      <c r="P21" s="126">
        <f t="shared" si="9"/>
        <v>0</v>
      </c>
      <c r="Q21" s="102">
        <f t="shared" si="3"/>
        <v>-434.72</v>
      </c>
      <c r="R21" s="102">
        <f t="shared" si="4"/>
        <v>-434.72</v>
      </c>
      <c r="S21" s="102">
        <f t="shared" si="10"/>
        <v>0</v>
      </c>
      <c r="T21" s="139">
        <f t="shared" si="5"/>
        <v>-76.9797421731123</v>
      </c>
      <c r="U21" s="139">
        <f t="shared" si="6"/>
        <v>-76.9797421731123</v>
      </c>
      <c r="V21" s="140"/>
    </row>
    <row r="22" s="91" customFormat="1" ht="24" customHeight="1" spans="1:22">
      <c r="A22" s="105" t="s">
        <v>30</v>
      </c>
      <c r="B22" s="106">
        <f t="shared" si="16"/>
        <v>217548</v>
      </c>
      <c r="C22" s="110">
        <v>145758</v>
      </c>
      <c r="D22" s="107">
        <v>71790</v>
      </c>
      <c r="E22" s="106">
        <f t="shared" si="17"/>
        <v>250595</v>
      </c>
      <c r="F22" s="108">
        <v>182230</v>
      </c>
      <c r="G22" s="108">
        <v>68365</v>
      </c>
      <c r="H22" s="106">
        <f t="shared" si="18"/>
        <v>261988.2</v>
      </c>
      <c r="I22" s="106">
        <f>F22*1.04</f>
        <v>189519.2</v>
      </c>
      <c r="J22" s="106">
        <v>72469</v>
      </c>
      <c r="K22" s="102">
        <f t="shared" si="8"/>
        <v>213593</v>
      </c>
      <c r="L22" s="102">
        <v>153700</v>
      </c>
      <c r="M22" s="102">
        <v>59893</v>
      </c>
      <c r="N22" s="106"/>
      <c r="O22" s="106"/>
      <c r="P22" s="126">
        <f t="shared" si="9"/>
        <v>61689.79</v>
      </c>
      <c r="Q22" s="102">
        <f t="shared" si="3"/>
        <v>-48395.2</v>
      </c>
      <c r="R22" s="102">
        <f t="shared" si="4"/>
        <v>-35819.2</v>
      </c>
      <c r="S22" s="102">
        <f t="shared" si="10"/>
        <v>-12576</v>
      </c>
      <c r="T22" s="139">
        <f t="shared" si="5"/>
        <v>-18.4722823394336</v>
      </c>
      <c r="U22" s="139">
        <f t="shared" si="6"/>
        <v>-18.9000375687529</v>
      </c>
      <c r="V22" s="140">
        <f t="shared" si="7"/>
        <v>-17.3536270681257</v>
      </c>
    </row>
    <row r="23" s="91" customFormat="1" ht="24" customHeight="1" spans="1:22">
      <c r="A23" s="105" t="s">
        <v>26</v>
      </c>
      <c r="B23" s="106">
        <v>0</v>
      </c>
      <c r="C23" s="110">
        <v>0</v>
      </c>
      <c r="D23" s="107"/>
      <c r="E23" s="106">
        <f t="shared" si="17"/>
        <v>0</v>
      </c>
      <c r="F23" s="108"/>
      <c r="G23" s="108"/>
      <c r="H23" s="106">
        <f t="shared" si="18"/>
        <v>0</v>
      </c>
      <c r="I23" s="106">
        <f>F23*1.06</f>
        <v>0</v>
      </c>
      <c r="J23" s="106">
        <v>0</v>
      </c>
      <c r="K23" s="102">
        <f t="shared" si="8"/>
        <v>40</v>
      </c>
      <c r="L23" s="102">
        <v>40</v>
      </c>
      <c r="M23" s="102"/>
      <c r="N23" s="106"/>
      <c r="O23" s="106"/>
      <c r="P23" s="126">
        <f t="shared" si="9"/>
        <v>0</v>
      </c>
      <c r="Q23" s="102">
        <f t="shared" si="3"/>
        <v>40</v>
      </c>
      <c r="R23" s="102">
        <f t="shared" si="4"/>
        <v>40</v>
      </c>
      <c r="S23" s="102">
        <f t="shared" si="10"/>
        <v>0</v>
      </c>
      <c r="T23" s="139"/>
      <c r="U23" s="139"/>
      <c r="V23" s="140"/>
    </row>
    <row r="24" s="91" customFormat="1" ht="24" customHeight="1" spans="1:22">
      <c r="A24" s="105" t="s">
        <v>27</v>
      </c>
      <c r="B24" s="106">
        <v>17402</v>
      </c>
      <c r="C24" s="110">
        <v>17402</v>
      </c>
      <c r="D24" s="107"/>
      <c r="E24" s="106">
        <f t="shared" si="17"/>
        <v>44045</v>
      </c>
      <c r="F24" s="108">
        <v>44045</v>
      </c>
      <c r="G24" s="108"/>
      <c r="H24" s="106">
        <f t="shared" si="18"/>
        <v>46687.7</v>
      </c>
      <c r="I24" s="106">
        <f>F24*1.06</f>
        <v>46687.7</v>
      </c>
      <c r="J24" s="106">
        <v>0</v>
      </c>
      <c r="K24" s="102">
        <f t="shared" si="8"/>
        <v>49120</v>
      </c>
      <c r="L24" s="102">
        <v>49120</v>
      </c>
      <c r="M24" s="102"/>
      <c r="N24" s="106"/>
      <c r="O24" s="106"/>
      <c r="P24" s="126">
        <f t="shared" si="9"/>
        <v>0</v>
      </c>
      <c r="Q24" s="102">
        <f t="shared" si="3"/>
        <v>2432.3</v>
      </c>
      <c r="R24" s="102">
        <f t="shared" si="4"/>
        <v>2432.3</v>
      </c>
      <c r="S24" s="102">
        <f t="shared" si="10"/>
        <v>0</v>
      </c>
      <c r="T24" s="139">
        <f t="shared" si="5"/>
        <v>5.20972333184115</v>
      </c>
      <c r="U24" s="139">
        <f t="shared" si="6"/>
        <v>5.20972333184116</v>
      </c>
      <c r="V24" s="140"/>
    </row>
    <row r="25" s="91" customFormat="1" ht="24" customHeight="1" spans="1:22">
      <c r="A25" s="105" t="s">
        <v>31</v>
      </c>
      <c r="B25" s="106">
        <v>37805</v>
      </c>
      <c r="C25" s="110">
        <v>28105</v>
      </c>
      <c r="D25" s="107">
        <v>9700</v>
      </c>
      <c r="E25" s="106">
        <f t="shared" si="17"/>
        <v>44344</v>
      </c>
      <c r="F25" s="108">
        <v>33375</v>
      </c>
      <c r="G25" s="108">
        <v>10969</v>
      </c>
      <c r="H25" s="106">
        <f t="shared" si="18"/>
        <v>46557</v>
      </c>
      <c r="I25" s="106">
        <f>F25*1.04</f>
        <v>34710</v>
      </c>
      <c r="J25" s="106">
        <v>11847</v>
      </c>
      <c r="K25" s="102">
        <f t="shared" si="8"/>
        <v>28885</v>
      </c>
      <c r="L25" s="102">
        <v>21300</v>
      </c>
      <c r="M25" s="102">
        <v>7585</v>
      </c>
      <c r="N25" s="106"/>
      <c r="O25" s="106"/>
      <c r="P25" s="126">
        <f t="shared" si="9"/>
        <v>7812.55</v>
      </c>
      <c r="Q25" s="102">
        <f t="shared" si="3"/>
        <v>-17672</v>
      </c>
      <c r="R25" s="102">
        <f t="shared" si="4"/>
        <v>-13410</v>
      </c>
      <c r="S25" s="102">
        <f t="shared" si="10"/>
        <v>-4262</v>
      </c>
      <c r="T25" s="139">
        <f t="shared" si="5"/>
        <v>-37.9577721932255</v>
      </c>
      <c r="U25" s="139">
        <f t="shared" si="6"/>
        <v>-38.6343993085566</v>
      </c>
      <c r="V25" s="140">
        <f t="shared" si="7"/>
        <v>-35.9753524098928</v>
      </c>
    </row>
    <row r="26" s="91" customFormat="1" ht="24" customHeight="1" spans="1:22">
      <c r="A26" s="105" t="s">
        <v>32</v>
      </c>
      <c r="B26" s="106">
        <v>338</v>
      </c>
      <c r="C26" s="110">
        <v>322</v>
      </c>
      <c r="D26" s="107">
        <v>16</v>
      </c>
      <c r="E26" s="106">
        <f t="shared" si="17"/>
        <v>497.025765</v>
      </c>
      <c r="F26" s="108">
        <v>484</v>
      </c>
      <c r="G26" s="108">
        <v>13.025765</v>
      </c>
      <c r="H26" s="106">
        <f t="shared" si="18"/>
        <v>544.82</v>
      </c>
      <c r="I26" s="106">
        <f>F26*1.1</f>
        <v>532.4</v>
      </c>
      <c r="J26" s="106">
        <v>12.42</v>
      </c>
      <c r="K26" s="102">
        <f t="shared" si="8"/>
        <v>712</v>
      </c>
      <c r="L26" s="102">
        <v>700</v>
      </c>
      <c r="M26" s="102">
        <v>12</v>
      </c>
      <c r="N26" s="106"/>
      <c r="O26" s="106"/>
      <c r="P26" s="126">
        <f t="shared" si="9"/>
        <v>12.36</v>
      </c>
      <c r="Q26" s="102">
        <f t="shared" si="3"/>
        <v>167.18</v>
      </c>
      <c r="R26" s="102">
        <f t="shared" si="4"/>
        <v>167.6</v>
      </c>
      <c r="S26" s="102">
        <f t="shared" si="10"/>
        <v>-0.42</v>
      </c>
      <c r="T26" s="139">
        <f t="shared" si="5"/>
        <v>30.6853639734224</v>
      </c>
      <c r="U26" s="139">
        <f t="shared" si="6"/>
        <v>31.4800901577761</v>
      </c>
      <c r="V26" s="140">
        <f t="shared" si="7"/>
        <v>-3.38164251207729</v>
      </c>
    </row>
    <row r="27" s="91" customFormat="1" ht="31.5" customHeight="1" spans="1:22">
      <c r="A27" s="105" t="s">
        <v>33</v>
      </c>
      <c r="B27" s="106">
        <f t="shared" ref="B27:B34" si="19">C27+D27</f>
        <v>40700</v>
      </c>
      <c r="C27" s="110">
        <v>36900</v>
      </c>
      <c r="D27" s="107">
        <v>3800</v>
      </c>
      <c r="E27" s="106">
        <f t="shared" si="17"/>
        <v>23646.22704</v>
      </c>
      <c r="F27" s="108">
        <v>20119</v>
      </c>
      <c r="G27" s="108">
        <v>3527.22704</v>
      </c>
      <c r="H27" s="106">
        <f t="shared" si="18"/>
        <v>39907.74</v>
      </c>
      <c r="I27" s="106">
        <f>F27*1.1+11123+2982+38</f>
        <v>36273.9</v>
      </c>
      <c r="J27" s="106">
        <v>3633.84</v>
      </c>
      <c r="K27" s="102">
        <f t="shared" si="8"/>
        <v>22159</v>
      </c>
      <c r="L27" s="102">
        <v>18000</v>
      </c>
      <c r="M27" s="102">
        <v>4159</v>
      </c>
      <c r="N27" s="106"/>
      <c r="O27" s="106"/>
      <c r="P27" s="126">
        <f t="shared" si="9"/>
        <v>4283.77</v>
      </c>
      <c r="Q27" s="102">
        <f t="shared" si="3"/>
        <v>-17748.74</v>
      </c>
      <c r="R27" s="102">
        <f t="shared" si="4"/>
        <v>-18273.9</v>
      </c>
      <c r="S27" s="102">
        <f t="shared" si="10"/>
        <v>525.16</v>
      </c>
      <c r="T27" s="139">
        <f t="shared" si="5"/>
        <v>-44.4744302734257</v>
      </c>
      <c r="U27" s="139">
        <f t="shared" si="6"/>
        <v>-50.3775441846617</v>
      </c>
      <c r="V27" s="140">
        <f t="shared" si="7"/>
        <v>14.4519296391696</v>
      </c>
    </row>
    <row r="28" s="91" customFormat="1" ht="31.5" customHeight="1" spans="1:22">
      <c r="A28" s="105" t="s">
        <v>34</v>
      </c>
      <c r="B28" s="106">
        <f t="shared" si="19"/>
        <v>31713</v>
      </c>
      <c r="C28" s="106">
        <v>26913</v>
      </c>
      <c r="D28" s="107">
        <v>4800</v>
      </c>
      <c r="E28" s="106">
        <f t="shared" si="17"/>
        <v>23103.71934</v>
      </c>
      <c r="F28" s="108">
        <v>17126</v>
      </c>
      <c r="G28" s="108">
        <v>5977.71934</v>
      </c>
      <c r="H28" s="106">
        <f t="shared" si="18"/>
        <v>39995.94</v>
      </c>
      <c r="I28" s="106">
        <f>F28*1.1+15000</f>
        <v>33838.6</v>
      </c>
      <c r="J28" s="106">
        <v>6157.34</v>
      </c>
      <c r="K28" s="102">
        <f t="shared" si="8"/>
        <v>21796</v>
      </c>
      <c r="L28" s="102">
        <v>16000</v>
      </c>
      <c r="M28" s="102">
        <v>5796</v>
      </c>
      <c r="N28" s="106"/>
      <c r="O28" s="106"/>
      <c r="P28" s="126">
        <f t="shared" si="9"/>
        <v>5969.88</v>
      </c>
      <c r="Q28" s="102">
        <f t="shared" si="3"/>
        <v>-18199.94</v>
      </c>
      <c r="R28" s="102">
        <f t="shared" si="4"/>
        <v>-17838.6</v>
      </c>
      <c r="S28" s="102">
        <f t="shared" si="10"/>
        <v>-361.34</v>
      </c>
      <c r="T28" s="139">
        <f t="shared" si="5"/>
        <v>-45.5044687035734</v>
      </c>
      <c r="U28" s="139">
        <f t="shared" si="6"/>
        <v>-52.7167199588635</v>
      </c>
      <c r="V28" s="140">
        <f t="shared" si="7"/>
        <v>-5.8684431913781</v>
      </c>
    </row>
    <row r="29" s="91" customFormat="1" ht="31.5" customHeight="1" spans="1:22">
      <c r="A29" s="105" t="s">
        <v>35</v>
      </c>
      <c r="B29" s="106">
        <f t="shared" si="19"/>
        <v>7360</v>
      </c>
      <c r="C29" s="106">
        <v>5810</v>
      </c>
      <c r="D29" s="107">
        <v>1550</v>
      </c>
      <c r="E29" s="106">
        <f t="shared" si="17"/>
        <v>6685.130538</v>
      </c>
      <c r="F29" s="108">
        <v>4706</v>
      </c>
      <c r="G29" s="108">
        <v>1979.130538</v>
      </c>
      <c r="H29" s="106">
        <f t="shared" si="18"/>
        <v>10216</v>
      </c>
      <c r="I29" s="106">
        <f>F29*1.1+3000</f>
        <v>8176.6</v>
      </c>
      <c r="J29" s="106">
        <v>2039.4</v>
      </c>
      <c r="K29" s="102">
        <f t="shared" si="8"/>
        <v>7262</v>
      </c>
      <c r="L29" s="102">
        <v>5000</v>
      </c>
      <c r="M29" s="102">
        <v>2262</v>
      </c>
      <c r="N29" s="106"/>
      <c r="O29" s="106"/>
      <c r="P29" s="126">
        <f t="shared" si="9"/>
        <v>2329.86</v>
      </c>
      <c r="Q29" s="102">
        <f t="shared" si="3"/>
        <v>-2954</v>
      </c>
      <c r="R29" s="102">
        <f t="shared" si="4"/>
        <v>-3176.6</v>
      </c>
      <c r="S29" s="102">
        <f t="shared" si="10"/>
        <v>222.6</v>
      </c>
      <c r="T29" s="139">
        <f t="shared" si="5"/>
        <v>-28.9154267815192</v>
      </c>
      <c r="U29" s="139">
        <f t="shared" si="6"/>
        <v>-38.8498887067975</v>
      </c>
      <c r="V29" s="140">
        <f t="shared" si="7"/>
        <v>10.9149749926449</v>
      </c>
    </row>
    <row r="30" s="91" customFormat="1" ht="33.75" customHeight="1" spans="1:22">
      <c r="A30" s="105" t="s">
        <v>36</v>
      </c>
      <c r="B30" s="106">
        <f t="shared" si="19"/>
        <v>8958</v>
      </c>
      <c r="C30" s="106">
        <v>7288</v>
      </c>
      <c r="D30" s="107">
        <v>1670</v>
      </c>
      <c r="E30" s="106">
        <f t="shared" si="17"/>
        <v>8116.068808</v>
      </c>
      <c r="F30" s="108">
        <v>6348.965643</v>
      </c>
      <c r="G30" s="108">
        <v>1767.103165</v>
      </c>
      <c r="H30" s="106">
        <f t="shared" si="18"/>
        <v>11803.8722073</v>
      </c>
      <c r="I30" s="106">
        <f>F30*1.1+3000</f>
        <v>9983.8622073</v>
      </c>
      <c r="J30" s="106">
        <v>1820.01</v>
      </c>
      <c r="K30" s="102">
        <f t="shared" si="8"/>
        <v>6481</v>
      </c>
      <c r="L30" s="102">
        <v>5000</v>
      </c>
      <c r="M30" s="102">
        <v>1481</v>
      </c>
      <c r="N30" s="106"/>
      <c r="O30" s="106"/>
      <c r="P30" s="126">
        <f t="shared" si="9"/>
        <v>1525.43</v>
      </c>
      <c r="Q30" s="102">
        <f t="shared" si="3"/>
        <v>-5322.8722073</v>
      </c>
      <c r="R30" s="102">
        <f t="shared" si="4"/>
        <v>-4983.8622073</v>
      </c>
      <c r="S30" s="102">
        <f t="shared" si="10"/>
        <v>-339.01</v>
      </c>
      <c r="T30" s="139">
        <f t="shared" si="5"/>
        <v>-45.0942886691718</v>
      </c>
      <c r="U30" s="139">
        <f t="shared" si="6"/>
        <v>-49.9191806118468</v>
      </c>
      <c r="V30" s="140">
        <f t="shared" si="7"/>
        <v>-18.6268207317542</v>
      </c>
    </row>
    <row r="31" s="91" customFormat="1" ht="24" customHeight="1" spans="1:22">
      <c r="A31" s="105" t="s">
        <v>37</v>
      </c>
      <c r="B31" s="106">
        <f t="shared" si="19"/>
        <v>140268</v>
      </c>
      <c r="C31" s="106">
        <v>111468</v>
      </c>
      <c r="D31" s="107">
        <v>28800</v>
      </c>
      <c r="E31" s="106">
        <f t="shared" si="17"/>
        <v>92058.890965</v>
      </c>
      <c r="F31" s="108">
        <v>57197</v>
      </c>
      <c r="G31" s="108">
        <v>34861.890965</v>
      </c>
      <c r="H31" s="106">
        <f t="shared" si="18"/>
        <v>168578.7</v>
      </c>
      <c r="I31" s="106">
        <f>F31*1.1+70000</f>
        <v>132916.7</v>
      </c>
      <c r="J31" s="106">
        <f>35700-38</f>
        <v>35662</v>
      </c>
      <c r="K31" s="102">
        <f t="shared" si="8"/>
        <v>85077</v>
      </c>
      <c r="L31" s="102">
        <v>60000</v>
      </c>
      <c r="M31" s="102">
        <v>25077</v>
      </c>
      <c r="N31" s="106"/>
      <c r="O31" s="106"/>
      <c r="P31" s="126">
        <f t="shared" si="9"/>
        <v>25829.31</v>
      </c>
      <c r="Q31" s="102">
        <f t="shared" si="3"/>
        <v>-83501.7</v>
      </c>
      <c r="R31" s="102">
        <f t="shared" si="4"/>
        <v>-72916.7</v>
      </c>
      <c r="S31" s="102">
        <f t="shared" si="10"/>
        <v>-10585</v>
      </c>
      <c r="T31" s="139">
        <f t="shared" si="5"/>
        <v>-49.5327701542366</v>
      </c>
      <c r="U31" s="139">
        <f t="shared" si="6"/>
        <v>-54.8589454899196</v>
      </c>
      <c r="V31" s="140">
        <f t="shared" si="7"/>
        <v>-29.6814536481409</v>
      </c>
    </row>
    <row r="32" s="92" customFormat="1" ht="24" customHeight="1" spans="1:22">
      <c r="A32" s="105" t="s">
        <v>38</v>
      </c>
      <c r="B32" s="106">
        <f t="shared" si="19"/>
        <v>1969</v>
      </c>
      <c r="C32" s="106">
        <v>1968</v>
      </c>
      <c r="D32" s="107">
        <v>1</v>
      </c>
      <c r="E32" s="106">
        <f t="shared" si="17"/>
        <v>2159.97766</v>
      </c>
      <c r="F32" s="108">
        <v>2157.318022</v>
      </c>
      <c r="G32" s="108">
        <v>2.659638</v>
      </c>
      <c r="H32" s="106">
        <f t="shared" si="18"/>
        <v>2375.1198242</v>
      </c>
      <c r="I32" s="106">
        <f>F32*1.1</f>
        <v>2373.0498242</v>
      </c>
      <c r="J32" s="106">
        <v>2.07</v>
      </c>
      <c r="K32" s="102">
        <f t="shared" si="8"/>
        <v>2563</v>
      </c>
      <c r="L32" s="102">
        <v>2560</v>
      </c>
      <c r="M32" s="102">
        <v>3</v>
      </c>
      <c r="N32" s="106"/>
      <c r="O32" s="106"/>
      <c r="P32" s="126">
        <f t="shared" si="9"/>
        <v>3.09</v>
      </c>
      <c r="Q32" s="102">
        <f t="shared" si="3"/>
        <v>187.8801758</v>
      </c>
      <c r="R32" s="102">
        <f t="shared" si="4"/>
        <v>186.9501758</v>
      </c>
      <c r="S32" s="102">
        <f t="shared" si="10"/>
        <v>0.93</v>
      </c>
      <c r="T32" s="139">
        <f t="shared" si="5"/>
        <v>7.91034514914559</v>
      </c>
      <c r="U32" s="139">
        <f t="shared" si="6"/>
        <v>7.87805523059443</v>
      </c>
      <c r="V32" s="140">
        <f t="shared" si="7"/>
        <v>44.9275362318841</v>
      </c>
    </row>
    <row r="33" s="91" customFormat="1" ht="33" customHeight="1" spans="1:22">
      <c r="A33" s="105" t="s">
        <v>39</v>
      </c>
      <c r="B33" s="106">
        <f t="shared" si="19"/>
        <v>4678</v>
      </c>
      <c r="C33" s="107">
        <v>2928</v>
      </c>
      <c r="D33" s="110">
        <v>1750</v>
      </c>
      <c r="E33" s="106">
        <f t="shared" si="17"/>
        <v>5346.425509</v>
      </c>
      <c r="F33" s="108">
        <v>3895.192373</v>
      </c>
      <c r="G33" s="108">
        <v>1451.233136</v>
      </c>
      <c r="H33" s="106">
        <f t="shared" si="18"/>
        <v>5750.2216103</v>
      </c>
      <c r="I33" s="106">
        <f>F33*1.1</f>
        <v>4284.7116103</v>
      </c>
      <c r="J33" s="106">
        <v>1465.51</v>
      </c>
      <c r="K33" s="102">
        <f t="shared" si="8"/>
        <v>3095</v>
      </c>
      <c r="L33" s="102">
        <v>1900</v>
      </c>
      <c r="M33" s="102">
        <v>1195</v>
      </c>
      <c r="N33" s="106"/>
      <c r="O33" s="106"/>
      <c r="P33" s="126">
        <f t="shared" si="9"/>
        <v>1230.85</v>
      </c>
      <c r="Q33" s="102">
        <f t="shared" si="3"/>
        <v>-2655.2216103</v>
      </c>
      <c r="R33" s="102">
        <f t="shared" si="4"/>
        <v>-2384.7116103</v>
      </c>
      <c r="S33" s="102">
        <f t="shared" si="10"/>
        <v>-270.51</v>
      </c>
      <c r="T33" s="139">
        <f t="shared" si="5"/>
        <v>-46.1759874705328</v>
      </c>
      <c r="U33" s="139">
        <f t="shared" si="6"/>
        <v>-55.6562921193436</v>
      </c>
      <c r="V33" s="140">
        <f t="shared" si="7"/>
        <v>-18.4584206180783</v>
      </c>
    </row>
    <row r="34" s="91" customFormat="1" ht="33" customHeight="1" spans="1:22">
      <c r="A34" s="105" t="s">
        <v>40</v>
      </c>
      <c r="B34" s="106">
        <f t="shared" si="19"/>
        <v>48579</v>
      </c>
      <c r="C34" s="111">
        <v>34179</v>
      </c>
      <c r="D34" s="110">
        <v>14400</v>
      </c>
      <c r="E34" s="106">
        <f t="shared" si="17"/>
        <v>35973.73307</v>
      </c>
      <c r="F34" s="108">
        <v>19324.073653</v>
      </c>
      <c r="G34" s="108">
        <v>16649.659417</v>
      </c>
      <c r="H34" s="106">
        <f t="shared" si="18"/>
        <v>68404.9510183</v>
      </c>
      <c r="I34" s="106">
        <f>F34*1.1+30000</f>
        <v>51256.4810183</v>
      </c>
      <c r="J34" s="106">
        <v>17148.47</v>
      </c>
      <c r="K34" s="102">
        <f t="shared" si="8"/>
        <v>47906</v>
      </c>
      <c r="L34" s="102">
        <v>33000</v>
      </c>
      <c r="M34" s="102">
        <v>14906</v>
      </c>
      <c r="N34" s="106"/>
      <c r="O34" s="106"/>
      <c r="P34" s="126">
        <f t="shared" si="9"/>
        <v>15353.18</v>
      </c>
      <c r="Q34" s="102">
        <f t="shared" si="3"/>
        <v>-20498.9510183</v>
      </c>
      <c r="R34" s="102">
        <f t="shared" si="4"/>
        <v>-18256.4810183</v>
      </c>
      <c r="S34" s="102">
        <f t="shared" si="10"/>
        <v>-2242.47</v>
      </c>
      <c r="T34" s="139">
        <f t="shared" si="5"/>
        <v>-29.9670575201728</v>
      </c>
      <c r="U34" s="139">
        <f t="shared" si="6"/>
        <v>-35.6178977869782</v>
      </c>
      <c r="V34" s="140">
        <f t="shared" si="7"/>
        <v>-13.0767934398812</v>
      </c>
    </row>
    <row r="35" s="91" customFormat="1" ht="33" customHeight="1" spans="1:22">
      <c r="A35" s="105" t="s">
        <v>41</v>
      </c>
      <c r="B35" s="106">
        <v>0</v>
      </c>
      <c r="C35" s="111">
        <v>0</v>
      </c>
      <c r="D35" s="110">
        <v>0</v>
      </c>
      <c r="E35" s="106">
        <f t="shared" si="17"/>
        <v>50.263646</v>
      </c>
      <c r="F35" s="108">
        <v>49.263646</v>
      </c>
      <c r="G35" s="108">
        <v>1</v>
      </c>
      <c r="H35" s="106">
        <f t="shared" si="18"/>
        <v>100</v>
      </c>
      <c r="I35" s="106">
        <v>100</v>
      </c>
      <c r="J35" s="106"/>
      <c r="K35" s="102">
        <f t="shared" si="8"/>
        <v>112</v>
      </c>
      <c r="L35" s="102">
        <v>110</v>
      </c>
      <c r="M35" s="102">
        <v>2</v>
      </c>
      <c r="N35" s="106"/>
      <c r="O35" s="106"/>
      <c r="P35" s="126">
        <f t="shared" si="9"/>
        <v>2.06</v>
      </c>
      <c r="Q35" s="102">
        <f t="shared" si="3"/>
        <v>12</v>
      </c>
      <c r="R35" s="102">
        <f t="shared" si="4"/>
        <v>10</v>
      </c>
      <c r="S35" s="102">
        <f t="shared" si="10"/>
        <v>2</v>
      </c>
      <c r="T35" s="139">
        <f t="shared" si="5"/>
        <v>12</v>
      </c>
      <c r="U35" s="139">
        <f t="shared" si="6"/>
        <v>10</v>
      </c>
      <c r="V35" s="140"/>
    </row>
    <row r="36" s="91" customFormat="1" ht="33.75" customHeight="1" spans="1:22">
      <c r="A36" s="105" t="s">
        <v>42</v>
      </c>
      <c r="B36" s="106">
        <v>0</v>
      </c>
      <c r="C36" s="111">
        <v>0</v>
      </c>
      <c r="D36" s="110">
        <v>0</v>
      </c>
      <c r="E36" s="106">
        <f t="shared" si="17"/>
        <v>24333</v>
      </c>
      <c r="F36" s="108">
        <v>24333</v>
      </c>
      <c r="G36" s="108">
        <v>0</v>
      </c>
      <c r="H36" s="106">
        <f t="shared" si="18"/>
        <v>26766.3</v>
      </c>
      <c r="I36" s="106">
        <f>F36*1.1</f>
        <v>26766.3</v>
      </c>
      <c r="J36" s="106"/>
      <c r="K36" s="102">
        <f t="shared" si="8"/>
        <v>26731</v>
      </c>
      <c r="L36" s="102">
        <v>26581</v>
      </c>
      <c r="M36" s="102">
        <v>150</v>
      </c>
      <c r="N36" s="106"/>
      <c r="O36" s="106"/>
      <c r="P36" s="126">
        <f t="shared" si="9"/>
        <v>154.5</v>
      </c>
      <c r="Q36" s="102">
        <f t="shared" si="3"/>
        <v>-35.299999999999</v>
      </c>
      <c r="R36" s="102">
        <f t="shared" si="4"/>
        <v>-185.299999999999</v>
      </c>
      <c r="S36" s="102">
        <f t="shared" si="10"/>
        <v>150</v>
      </c>
      <c r="T36" s="139">
        <f t="shared" si="5"/>
        <v>-0.131882254925033</v>
      </c>
      <c r="U36" s="139">
        <f t="shared" si="6"/>
        <v>-0.692288437326038</v>
      </c>
      <c r="V36" s="140"/>
    </row>
    <row r="37" ht="33" customHeight="1" spans="1:22">
      <c r="A37" s="112" t="s">
        <v>43</v>
      </c>
      <c r="B37" s="106">
        <f>C37+D37</f>
        <v>150000.14</v>
      </c>
      <c r="C37" s="110">
        <f>C38+C39+C40+C48+C49+C50+C51+C52</f>
        <v>126485.14</v>
      </c>
      <c r="D37" s="110">
        <f>D38+D39+D40+D48+D49+D50+D51+D52</f>
        <v>23515</v>
      </c>
      <c r="E37" s="110">
        <f>E38+E39+E40+E48+E49+E50+E51+E52</f>
        <v>289651.19933</v>
      </c>
      <c r="F37" s="110">
        <f>F38+F39+F40+F48+F49+F50+F51+F52</f>
        <v>256287.091976</v>
      </c>
      <c r="G37" s="110">
        <f>G38+G39+G40+G48+G49+G50+G51+G52</f>
        <v>33364.107354</v>
      </c>
      <c r="H37" s="106">
        <f>H38++H39+H40+H48+H49+H50+H51+H52</f>
        <v>149999.84</v>
      </c>
      <c r="I37" s="106">
        <f t="shared" ref="I37:S37" si="20">I38++I39+I40+I48+I49+I50+I51+I52</f>
        <v>117069.84</v>
      </c>
      <c r="J37" s="106">
        <f t="shared" si="20"/>
        <v>32930</v>
      </c>
      <c r="K37" s="106">
        <f t="shared" si="20"/>
        <v>235892</v>
      </c>
      <c r="L37" s="102">
        <f t="shared" si="20"/>
        <v>190867</v>
      </c>
      <c r="M37" s="102">
        <f t="shared" si="20"/>
        <v>45025</v>
      </c>
      <c r="N37" s="106">
        <f t="shared" si="20"/>
        <v>0</v>
      </c>
      <c r="O37" s="106">
        <f t="shared" si="20"/>
        <v>0</v>
      </c>
      <c r="P37" s="106">
        <f t="shared" si="20"/>
        <v>46375.75</v>
      </c>
      <c r="Q37" s="106">
        <f t="shared" si="20"/>
        <v>85892.16</v>
      </c>
      <c r="R37" s="106">
        <f t="shared" si="20"/>
        <v>73797.16</v>
      </c>
      <c r="S37" s="106">
        <f t="shared" si="20"/>
        <v>12095</v>
      </c>
      <c r="T37" s="139">
        <f t="shared" si="5"/>
        <v>57.2615010789345</v>
      </c>
      <c r="U37" s="139">
        <f t="shared" si="6"/>
        <v>63.0368675655489</v>
      </c>
      <c r="V37" s="140">
        <f t="shared" si="7"/>
        <v>36.7294260552688</v>
      </c>
    </row>
    <row r="38" ht="35.25" customHeight="1" spans="1:22">
      <c r="A38" s="105" t="s">
        <v>44</v>
      </c>
      <c r="B38" s="106">
        <f>C38+D38</f>
        <v>3776</v>
      </c>
      <c r="C38" s="107">
        <v>3326</v>
      </c>
      <c r="D38" s="110">
        <v>450</v>
      </c>
      <c r="E38" s="106">
        <f t="shared" si="17"/>
        <v>8009.354108</v>
      </c>
      <c r="F38" s="108">
        <v>7969</v>
      </c>
      <c r="G38" s="108">
        <v>40.354108</v>
      </c>
      <c r="H38" s="106">
        <f t="shared" si="18"/>
        <v>3366</v>
      </c>
      <c r="I38" s="106">
        <v>3326</v>
      </c>
      <c r="J38" s="106">
        <v>40</v>
      </c>
      <c r="K38" s="102">
        <f t="shared" si="8"/>
        <v>3000</v>
      </c>
      <c r="L38" s="102">
        <v>3000</v>
      </c>
      <c r="M38" s="102"/>
      <c r="N38" s="106"/>
      <c r="O38" s="106"/>
      <c r="P38" s="126">
        <f t="shared" si="9"/>
        <v>0</v>
      </c>
      <c r="Q38" s="102">
        <f t="shared" si="3"/>
        <v>-366</v>
      </c>
      <c r="R38" s="102">
        <f t="shared" si="4"/>
        <v>-326</v>
      </c>
      <c r="S38" s="102">
        <f t="shared" si="10"/>
        <v>-40</v>
      </c>
      <c r="T38" s="139">
        <f t="shared" si="5"/>
        <v>-10.873440285205</v>
      </c>
      <c r="U38" s="139">
        <f t="shared" si="6"/>
        <v>-9.80156343956705</v>
      </c>
      <c r="V38" s="140">
        <f t="shared" si="7"/>
        <v>-100</v>
      </c>
    </row>
    <row r="39" ht="24" customHeight="1" spans="1:22">
      <c r="A39" s="105" t="s">
        <v>45</v>
      </c>
      <c r="B39" s="106">
        <f>C39+D39</f>
        <v>6370</v>
      </c>
      <c r="C39" s="107">
        <v>5870</v>
      </c>
      <c r="D39" s="110">
        <v>500</v>
      </c>
      <c r="E39" s="106">
        <f t="shared" si="17"/>
        <v>4309.529074</v>
      </c>
      <c r="F39" s="108">
        <v>3872</v>
      </c>
      <c r="G39" s="108">
        <v>437.529074</v>
      </c>
      <c r="H39" s="106">
        <f t="shared" si="18"/>
        <v>6300</v>
      </c>
      <c r="I39" s="106">
        <v>5870</v>
      </c>
      <c r="J39" s="106">
        <v>430</v>
      </c>
      <c r="K39" s="102">
        <f t="shared" si="8"/>
        <v>5517</v>
      </c>
      <c r="L39" s="102">
        <v>5065</v>
      </c>
      <c r="M39" s="102">
        <v>452</v>
      </c>
      <c r="N39" s="106"/>
      <c r="O39" s="106"/>
      <c r="P39" s="126">
        <f t="shared" si="9"/>
        <v>465.56</v>
      </c>
      <c r="Q39" s="102">
        <f t="shared" si="3"/>
        <v>-783</v>
      </c>
      <c r="R39" s="102">
        <f t="shared" si="4"/>
        <v>-805</v>
      </c>
      <c r="S39" s="102">
        <f t="shared" si="10"/>
        <v>22</v>
      </c>
      <c r="T39" s="139">
        <f t="shared" si="5"/>
        <v>-12.4285714285714</v>
      </c>
      <c r="U39" s="139">
        <f t="shared" si="6"/>
        <v>-13.7137989778535</v>
      </c>
      <c r="V39" s="140">
        <f t="shared" si="7"/>
        <v>5.11627906976744</v>
      </c>
    </row>
    <row r="40" ht="24" customHeight="1" spans="1:22">
      <c r="A40" s="105" t="s">
        <v>46</v>
      </c>
      <c r="B40" s="106">
        <f>SUM(B41:B46)</f>
        <v>50580.66</v>
      </c>
      <c r="C40" s="106">
        <f>SUM(C41:C46)</f>
        <v>40180.66</v>
      </c>
      <c r="D40" s="106">
        <f>SUM(D41:D46)</f>
        <v>10400</v>
      </c>
      <c r="E40" s="106">
        <f t="shared" si="17"/>
        <v>58902.280196</v>
      </c>
      <c r="F40" s="106">
        <v>29776.824785</v>
      </c>
      <c r="G40" s="106">
        <v>29125.455411</v>
      </c>
      <c r="H40" s="106">
        <f>H41+H42+H43+H44+H45+H46+H47</f>
        <v>69640.36</v>
      </c>
      <c r="I40" s="106">
        <f t="shared" ref="I40:S40" si="21">I41+I42+I43+I44+I45+I46+I47</f>
        <v>40180.36</v>
      </c>
      <c r="J40" s="106">
        <f t="shared" si="21"/>
        <v>29460</v>
      </c>
      <c r="K40" s="106">
        <f t="shared" si="21"/>
        <v>77505</v>
      </c>
      <c r="L40" s="102">
        <f t="shared" si="21"/>
        <v>39478</v>
      </c>
      <c r="M40" s="102">
        <f t="shared" si="21"/>
        <v>38027</v>
      </c>
      <c r="N40" s="106">
        <f t="shared" si="21"/>
        <v>0</v>
      </c>
      <c r="O40" s="106">
        <f t="shared" si="21"/>
        <v>0</v>
      </c>
      <c r="P40" s="106">
        <f t="shared" si="21"/>
        <v>39167.81</v>
      </c>
      <c r="Q40" s="106">
        <f t="shared" si="21"/>
        <v>7864.64</v>
      </c>
      <c r="R40" s="106">
        <f t="shared" si="21"/>
        <v>-702.36</v>
      </c>
      <c r="S40" s="106">
        <f t="shared" si="21"/>
        <v>8567</v>
      </c>
      <c r="T40" s="139">
        <f t="shared" si="5"/>
        <v>11.2932213446341</v>
      </c>
      <c r="U40" s="139">
        <f t="shared" si="6"/>
        <v>-1.74801818599933</v>
      </c>
      <c r="V40" s="140">
        <f t="shared" si="7"/>
        <v>29.0801086218602</v>
      </c>
    </row>
    <row r="41" ht="33" customHeight="1" spans="1:22">
      <c r="A41" s="105" t="s">
        <v>47</v>
      </c>
      <c r="B41" s="106">
        <f>C41+D41</f>
        <v>15575</v>
      </c>
      <c r="C41" s="107">
        <v>13375</v>
      </c>
      <c r="D41" s="113">
        <v>2200</v>
      </c>
      <c r="E41" s="106">
        <f t="shared" si="17"/>
        <v>14529.92638</v>
      </c>
      <c r="F41" s="108">
        <v>12423.948672</v>
      </c>
      <c r="G41" s="108">
        <v>2105.977708</v>
      </c>
      <c r="H41" s="106">
        <f t="shared" si="18"/>
        <v>15485</v>
      </c>
      <c r="I41" s="106">
        <v>13375</v>
      </c>
      <c r="J41" s="106">
        <v>2110</v>
      </c>
      <c r="K41" s="102">
        <f t="shared" si="8"/>
        <v>13089</v>
      </c>
      <c r="L41" s="102">
        <v>11000</v>
      </c>
      <c r="M41" s="102">
        <v>2089</v>
      </c>
      <c r="N41" s="106"/>
      <c r="O41" s="106"/>
      <c r="P41" s="126">
        <f t="shared" si="9"/>
        <v>2151.67</v>
      </c>
      <c r="Q41" s="102">
        <f t="shared" si="3"/>
        <v>-2396</v>
      </c>
      <c r="R41" s="102">
        <f t="shared" si="4"/>
        <v>-2375</v>
      </c>
      <c r="S41" s="102">
        <f t="shared" si="10"/>
        <v>-21</v>
      </c>
      <c r="T41" s="139">
        <f t="shared" si="5"/>
        <v>-15.4730384242816</v>
      </c>
      <c r="U41" s="139">
        <f t="shared" si="6"/>
        <v>-17.7570093457944</v>
      </c>
      <c r="V41" s="140">
        <f t="shared" si="7"/>
        <v>-0.995260663507109</v>
      </c>
    </row>
    <row r="42" ht="33" customHeight="1" spans="1:22">
      <c r="A42" s="105" t="s">
        <v>48</v>
      </c>
      <c r="B42" s="106">
        <v>3186.36</v>
      </c>
      <c r="C42" s="107">
        <f t="shared" ref="C42:C46" si="22">B42-D42</f>
        <v>2786.36</v>
      </c>
      <c r="D42" s="113">
        <v>400</v>
      </c>
      <c r="E42" s="106">
        <f t="shared" si="17"/>
        <v>2859.023298</v>
      </c>
      <c r="F42" s="108">
        <v>2416.468159</v>
      </c>
      <c r="G42" s="108">
        <v>442.555139</v>
      </c>
      <c r="H42" s="106">
        <f t="shared" si="18"/>
        <v>3236.36</v>
      </c>
      <c r="I42" s="106">
        <v>2786.36</v>
      </c>
      <c r="J42" s="106">
        <v>450</v>
      </c>
      <c r="K42" s="102">
        <f t="shared" si="8"/>
        <v>2384</v>
      </c>
      <c r="L42" s="102">
        <v>2000</v>
      </c>
      <c r="M42" s="102">
        <v>384</v>
      </c>
      <c r="N42" s="106"/>
      <c r="O42" s="106"/>
      <c r="P42" s="126">
        <f t="shared" si="9"/>
        <v>395.52</v>
      </c>
      <c r="Q42" s="102">
        <f t="shared" si="3"/>
        <v>-852.36</v>
      </c>
      <c r="R42" s="102">
        <f t="shared" si="4"/>
        <v>-786.36</v>
      </c>
      <c r="S42" s="102">
        <f t="shared" si="10"/>
        <v>-66</v>
      </c>
      <c r="T42" s="139">
        <f t="shared" si="5"/>
        <v>-26.336995884265</v>
      </c>
      <c r="U42" s="139">
        <f t="shared" si="6"/>
        <v>-28.2217660316686</v>
      </c>
      <c r="V42" s="140">
        <f t="shared" si="7"/>
        <v>-14.6666666666667</v>
      </c>
    </row>
    <row r="43" ht="33" customHeight="1" spans="1:22">
      <c r="A43" s="105" t="s">
        <v>49</v>
      </c>
      <c r="B43" s="106">
        <v>12720</v>
      </c>
      <c r="C43" s="107">
        <f t="shared" si="22"/>
        <v>9720</v>
      </c>
      <c r="D43" s="113">
        <v>3000</v>
      </c>
      <c r="E43" s="106">
        <f t="shared" si="17"/>
        <v>17235</v>
      </c>
      <c r="F43" s="108">
        <v>4891</v>
      </c>
      <c r="G43" s="108">
        <v>12344</v>
      </c>
      <c r="H43" s="106">
        <f t="shared" si="18"/>
        <v>22220</v>
      </c>
      <c r="I43" s="106">
        <v>9720</v>
      </c>
      <c r="J43" s="106">
        <v>12500</v>
      </c>
      <c r="K43" s="102">
        <f t="shared" si="8"/>
        <v>25955</v>
      </c>
      <c r="L43" s="102">
        <v>9339</v>
      </c>
      <c r="M43" s="102">
        <v>16616</v>
      </c>
      <c r="N43" s="106"/>
      <c r="O43" s="106"/>
      <c r="P43" s="126">
        <f t="shared" si="9"/>
        <v>17114.48</v>
      </c>
      <c r="Q43" s="102">
        <f t="shared" si="3"/>
        <v>3735</v>
      </c>
      <c r="R43" s="102">
        <f t="shared" si="4"/>
        <v>-381</v>
      </c>
      <c r="S43" s="102">
        <f t="shared" si="10"/>
        <v>4116</v>
      </c>
      <c r="T43" s="139">
        <f t="shared" si="5"/>
        <v>16.8091809180918</v>
      </c>
      <c r="U43" s="139">
        <f t="shared" si="6"/>
        <v>-3.91975308641975</v>
      </c>
      <c r="V43" s="140">
        <f t="shared" si="7"/>
        <v>32.928</v>
      </c>
    </row>
    <row r="44" s="94" customFormat="1" ht="33" customHeight="1" spans="1:22">
      <c r="A44" s="105" t="s">
        <v>50</v>
      </c>
      <c r="B44" s="106">
        <v>12720</v>
      </c>
      <c r="C44" s="107">
        <f t="shared" si="22"/>
        <v>9720</v>
      </c>
      <c r="D44" s="113">
        <v>3000</v>
      </c>
      <c r="E44" s="106">
        <f t="shared" si="17"/>
        <v>17235</v>
      </c>
      <c r="F44" s="108">
        <v>4891</v>
      </c>
      <c r="G44" s="108">
        <v>12344</v>
      </c>
      <c r="H44" s="106">
        <f t="shared" ref="H44:H63" si="23">I44+J44</f>
        <v>22220</v>
      </c>
      <c r="I44" s="106">
        <v>9720</v>
      </c>
      <c r="J44" s="106">
        <v>12500</v>
      </c>
      <c r="K44" s="102">
        <f t="shared" si="8"/>
        <v>25955</v>
      </c>
      <c r="L44" s="102">
        <v>9339</v>
      </c>
      <c r="M44" s="102">
        <v>16616</v>
      </c>
      <c r="N44" s="106"/>
      <c r="O44" s="106"/>
      <c r="P44" s="126">
        <f t="shared" si="9"/>
        <v>17114.48</v>
      </c>
      <c r="Q44" s="102">
        <f t="shared" si="3"/>
        <v>3735</v>
      </c>
      <c r="R44" s="102">
        <f t="shared" si="4"/>
        <v>-381</v>
      </c>
      <c r="S44" s="102">
        <f t="shared" si="10"/>
        <v>4116</v>
      </c>
      <c r="T44" s="139">
        <f t="shared" si="5"/>
        <v>16.8091809180918</v>
      </c>
      <c r="U44" s="139">
        <f t="shared" si="6"/>
        <v>-3.91975308641975</v>
      </c>
      <c r="V44" s="140">
        <f t="shared" si="7"/>
        <v>32.928</v>
      </c>
    </row>
    <row r="45" ht="33" customHeight="1" spans="1:22">
      <c r="A45" s="105" t="s">
        <v>51</v>
      </c>
      <c r="B45" s="106">
        <v>1012.3</v>
      </c>
      <c r="C45" s="107">
        <f t="shared" si="22"/>
        <v>1012.3</v>
      </c>
      <c r="D45" s="113">
        <v>0</v>
      </c>
      <c r="E45" s="106">
        <f t="shared" si="17"/>
        <v>1723.6611</v>
      </c>
      <c r="F45" s="108">
        <v>1723.6611</v>
      </c>
      <c r="G45" s="108">
        <v>0</v>
      </c>
      <c r="H45" s="106">
        <f t="shared" si="23"/>
        <v>1012</v>
      </c>
      <c r="I45" s="106">
        <v>1012</v>
      </c>
      <c r="J45" s="106"/>
      <c r="K45" s="102">
        <f t="shared" si="8"/>
        <v>3500</v>
      </c>
      <c r="L45" s="102">
        <v>3500</v>
      </c>
      <c r="M45" s="102"/>
      <c r="N45" s="106"/>
      <c r="O45" s="106"/>
      <c r="P45" s="126">
        <f t="shared" si="9"/>
        <v>0</v>
      </c>
      <c r="Q45" s="102">
        <f t="shared" si="3"/>
        <v>2488</v>
      </c>
      <c r="R45" s="102">
        <f t="shared" si="4"/>
        <v>2488</v>
      </c>
      <c r="S45" s="102">
        <f t="shared" si="10"/>
        <v>0</v>
      </c>
      <c r="T45" s="139">
        <f t="shared" si="5"/>
        <v>245.849802371541</v>
      </c>
      <c r="U45" s="139">
        <f t="shared" si="6"/>
        <v>245.849802371541</v>
      </c>
      <c r="V45" s="140"/>
    </row>
    <row r="46" ht="33" customHeight="1" spans="1:22">
      <c r="A46" s="105" t="s">
        <v>52</v>
      </c>
      <c r="B46" s="106">
        <v>5367</v>
      </c>
      <c r="C46" s="107">
        <f t="shared" si="22"/>
        <v>3567</v>
      </c>
      <c r="D46" s="113">
        <v>1800</v>
      </c>
      <c r="E46" s="106">
        <f t="shared" si="17"/>
        <v>5272.669418</v>
      </c>
      <c r="F46" s="108">
        <v>3383.746854</v>
      </c>
      <c r="G46" s="108">
        <v>1888.922564</v>
      </c>
      <c r="H46" s="106">
        <f t="shared" si="23"/>
        <v>5467</v>
      </c>
      <c r="I46" s="106">
        <v>3567</v>
      </c>
      <c r="J46" s="106">
        <v>1900</v>
      </c>
      <c r="K46" s="102">
        <f t="shared" si="8"/>
        <v>6622</v>
      </c>
      <c r="L46" s="102">
        <v>4300</v>
      </c>
      <c r="M46" s="102">
        <v>2322</v>
      </c>
      <c r="N46" s="106"/>
      <c r="O46" s="106"/>
      <c r="P46" s="126">
        <f t="shared" si="9"/>
        <v>2391.66</v>
      </c>
      <c r="Q46" s="102">
        <f t="shared" si="3"/>
        <v>1155</v>
      </c>
      <c r="R46" s="102">
        <f t="shared" si="4"/>
        <v>733</v>
      </c>
      <c r="S46" s="102">
        <f t="shared" si="10"/>
        <v>422</v>
      </c>
      <c r="T46" s="139">
        <f t="shared" si="5"/>
        <v>21.1267605633803</v>
      </c>
      <c r="U46" s="139">
        <f t="shared" si="6"/>
        <v>20.5494813568825</v>
      </c>
      <c r="V46" s="140">
        <f t="shared" si="7"/>
        <v>22.2105263157895</v>
      </c>
    </row>
    <row r="47" ht="32.25" customHeight="1" spans="1:22">
      <c r="A47" s="105" t="s">
        <v>53</v>
      </c>
      <c r="B47" s="106"/>
      <c r="C47" s="107"/>
      <c r="D47" s="110"/>
      <c r="E47" s="106"/>
      <c r="F47" s="108">
        <v>47</v>
      </c>
      <c r="G47" s="108"/>
      <c r="H47" s="106">
        <f t="shared" si="23"/>
        <v>0</v>
      </c>
      <c r="I47" s="106"/>
      <c r="J47" s="106">
        <v>0</v>
      </c>
      <c r="K47" s="102">
        <f t="shared" si="8"/>
        <v>0</v>
      </c>
      <c r="L47" s="102"/>
      <c r="M47" s="102"/>
      <c r="N47" s="106"/>
      <c r="O47" s="106"/>
      <c r="P47" s="126">
        <f t="shared" si="9"/>
        <v>0</v>
      </c>
      <c r="Q47" s="102">
        <f t="shared" si="3"/>
        <v>0</v>
      </c>
      <c r="R47" s="102">
        <f t="shared" si="4"/>
        <v>0</v>
      </c>
      <c r="S47" s="102">
        <f t="shared" si="10"/>
        <v>0</v>
      </c>
      <c r="T47" s="139"/>
      <c r="U47" s="139"/>
      <c r="V47" s="140"/>
    </row>
    <row r="48" ht="33.75" customHeight="1" spans="1:22">
      <c r="A48" s="105" t="s">
        <v>54</v>
      </c>
      <c r="B48" s="106">
        <f>C48+D48</f>
        <v>2984</v>
      </c>
      <c r="C48" s="106">
        <v>2984</v>
      </c>
      <c r="D48" s="110">
        <v>0</v>
      </c>
      <c r="E48" s="106">
        <f t="shared" ref="E48:E63" si="24">F48+G48</f>
        <v>128895.012415</v>
      </c>
      <c r="F48" s="108">
        <v>128895.012415</v>
      </c>
      <c r="G48" s="108">
        <v>0</v>
      </c>
      <c r="H48" s="106">
        <f t="shared" si="23"/>
        <v>2984</v>
      </c>
      <c r="I48" s="106">
        <v>2984</v>
      </c>
      <c r="J48" s="106"/>
      <c r="K48" s="102">
        <f t="shared" si="8"/>
        <v>3724</v>
      </c>
      <c r="L48" s="102">
        <v>3724</v>
      </c>
      <c r="M48" s="102"/>
      <c r="N48" s="106"/>
      <c r="O48" s="106"/>
      <c r="P48" s="126">
        <f t="shared" si="9"/>
        <v>0</v>
      </c>
      <c r="Q48" s="102">
        <f t="shared" si="3"/>
        <v>740</v>
      </c>
      <c r="R48" s="102">
        <f t="shared" si="4"/>
        <v>740</v>
      </c>
      <c r="S48" s="102">
        <f t="shared" si="10"/>
        <v>0</v>
      </c>
      <c r="T48" s="139">
        <f t="shared" si="5"/>
        <v>24.798927613941</v>
      </c>
      <c r="U48" s="139">
        <f t="shared" si="6"/>
        <v>24.798927613941</v>
      </c>
      <c r="V48" s="140"/>
    </row>
    <row r="49" ht="45" customHeight="1" spans="1:22">
      <c r="A49" s="105" t="s">
        <v>55</v>
      </c>
      <c r="B49" s="106">
        <f>C49+D49</f>
        <v>86016</v>
      </c>
      <c r="C49" s="106">
        <v>73851</v>
      </c>
      <c r="D49" s="110">
        <v>12165</v>
      </c>
      <c r="E49" s="106">
        <f t="shared" si="24"/>
        <v>89296.768761</v>
      </c>
      <c r="F49" s="108">
        <v>85536</v>
      </c>
      <c r="G49" s="108">
        <v>3760.768761</v>
      </c>
      <c r="H49" s="106">
        <f t="shared" si="23"/>
        <v>67436</v>
      </c>
      <c r="I49" s="106">
        <v>64436</v>
      </c>
      <c r="J49" s="106">
        <v>3000</v>
      </c>
      <c r="K49" s="102">
        <f t="shared" si="8"/>
        <v>145546</v>
      </c>
      <c r="L49" s="102">
        <v>139000</v>
      </c>
      <c r="M49" s="102">
        <v>6546</v>
      </c>
      <c r="N49" s="106"/>
      <c r="O49" s="106"/>
      <c r="P49" s="126">
        <f t="shared" si="9"/>
        <v>6742.38</v>
      </c>
      <c r="Q49" s="102">
        <f t="shared" si="3"/>
        <v>78110</v>
      </c>
      <c r="R49" s="102">
        <f t="shared" si="4"/>
        <v>74564</v>
      </c>
      <c r="S49" s="102">
        <f t="shared" si="10"/>
        <v>3546</v>
      </c>
      <c r="T49" s="139">
        <f t="shared" si="5"/>
        <v>115.828340945489</v>
      </c>
      <c r="U49" s="139">
        <f t="shared" si="6"/>
        <v>115.7179216587</v>
      </c>
      <c r="V49" s="140">
        <f t="shared" si="7"/>
        <v>118.2</v>
      </c>
    </row>
    <row r="50" ht="35" customHeight="1" spans="1:22">
      <c r="A50" s="105" t="s">
        <v>56</v>
      </c>
      <c r="B50" s="106">
        <f>C50+D50</f>
        <v>106</v>
      </c>
      <c r="C50" s="106">
        <v>106</v>
      </c>
      <c r="D50" s="110">
        <v>0</v>
      </c>
      <c r="E50" s="106">
        <f t="shared" si="24"/>
        <v>0</v>
      </c>
      <c r="F50" s="108">
        <v>0</v>
      </c>
      <c r="G50" s="108">
        <v>0</v>
      </c>
      <c r="H50" s="106">
        <f t="shared" si="23"/>
        <v>106</v>
      </c>
      <c r="I50" s="106">
        <v>106</v>
      </c>
      <c r="J50" s="106">
        <v>0</v>
      </c>
      <c r="K50" s="102">
        <f t="shared" si="8"/>
        <v>0</v>
      </c>
      <c r="L50" s="102"/>
      <c r="M50" s="102"/>
      <c r="N50" s="106"/>
      <c r="O50" s="106"/>
      <c r="P50" s="126">
        <f t="shared" si="9"/>
        <v>0</v>
      </c>
      <c r="Q50" s="102">
        <f t="shared" si="3"/>
        <v>-106</v>
      </c>
      <c r="R50" s="102">
        <f t="shared" si="4"/>
        <v>-106</v>
      </c>
      <c r="S50" s="102">
        <f t="shared" si="10"/>
        <v>0</v>
      </c>
      <c r="T50" s="139">
        <f t="shared" si="5"/>
        <v>-100</v>
      </c>
      <c r="U50" s="139">
        <f t="shared" si="6"/>
        <v>-100</v>
      </c>
      <c r="V50" s="140"/>
    </row>
    <row r="51" ht="45" customHeight="1" spans="1:22">
      <c r="A51" s="105" t="s">
        <v>57</v>
      </c>
      <c r="B51" s="106">
        <f>C51+D51</f>
        <v>167.48</v>
      </c>
      <c r="C51" s="106">
        <v>167.48</v>
      </c>
      <c r="D51" s="110">
        <v>0</v>
      </c>
      <c r="E51" s="106">
        <f t="shared" si="24"/>
        <v>223.176648</v>
      </c>
      <c r="F51" s="108">
        <v>223.176648</v>
      </c>
      <c r="G51" s="108">
        <v>0</v>
      </c>
      <c r="H51" s="106">
        <f t="shared" si="23"/>
        <v>167.48</v>
      </c>
      <c r="I51" s="106">
        <v>167.48</v>
      </c>
      <c r="J51" s="106">
        <v>0</v>
      </c>
      <c r="K51" s="102">
        <f t="shared" si="8"/>
        <v>400</v>
      </c>
      <c r="L51" s="102">
        <v>400</v>
      </c>
      <c r="M51" s="102"/>
      <c r="N51" s="106"/>
      <c r="O51" s="106"/>
      <c r="P51" s="126">
        <f t="shared" si="9"/>
        <v>0</v>
      </c>
      <c r="Q51" s="102">
        <f t="shared" si="3"/>
        <v>232.52</v>
      </c>
      <c r="R51" s="102">
        <f t="shared" si="4"/>
        <v>232.52</v>
      </c>
      <c r="S51" s="102">
        <f t="shared" si="10"/>
        <v>0</v>
      </c>
      <c r="T51" s="139">
        <f t="shared" si="5"/>
        <v>138.834487700024</v>
      </c>
      <c r="U51" s="139">
        <f t="shared" si="6"/>
        <v>138.834487700024</v>
      </c>
      <c r="V51" s="140"/>
    </row>
    <row r="52" ht="24" customHeight="1" spans="1:22">
      <c r="A52" s="105" t="s">
        <v>58</v>
      </c>
      <c r="B52" s="106">
        <f>C52+D52</f>
        <v>0</v>
      </c>
      <c r="C52" s="106">
        <v>0</v>
      </c>
      <c r="D52" s="110">
        <v>0</v>
      </c>
      <c r="E52" s="106">
        <f t="shared" si="24"/>
        <v>15.078128</v>
      </c>
      <c r="F52" s="108">
        <v>15.078128</v>
      </c>
      <c r="G52" s="108">
        <v>0</v>
      </c>
      <c r="H52" s="106">
        <f t="shared" si="23"/>
        <v>0</v>
      </c>
      <c r="I52" s="106">
        <v>0</v>
      </c>
      <c r="J52" s="106">
        <v>0</v>
      </c>
      <c r="K52" s="102">
        <f t="shared" si="8"/>
        <v>200</v>
      </c>
      <c r="L52" s="102">
        <v>200</v>
      </c>
      <c r="M52" s="102"/>
      <c r="N52" s="106"/>
      <c r="O52" s="106"/>
      <c r="P52" s="126">
        <f t="shared" si="9"/>
        <v>0</v>
      </c>
      <c r="Q52" s="102">
        <f t="shared" si="3"/>
        <v>200</v>
      </c>
      <c r="R52" s="102">
        <f t="shared" si="4"/>
        <v>200</v>
      </c>
      <c r="S52" s="102">
        <f t="shared" si="10"/>
        <v>0</v>
      </c>
      <c r="T52" s="139"/>
      <c r="U52" s="139"/>
      <c r="V52" s="140"/>
    </row>
    <row r="53" ht="39" customHeight="1" spans="1:22">
      <c r="A53" s="112" t="s">
        <v>59</v>
      </c>
      <c r="B53" s="106"/>
      <c r="C53" s="106">
        <v>0</v>
      </c>
      <c r="D53" s="110"/>
      <c r="E53" s="106">
        <f t="shared" si="24"/>
        <v>-185</v>
      </c>
      <c r="F53" s="108">
        <v>-185</v>
      </c>
      <c r="G53" s="108">
        <v>0</v>
      </c>
      <c r="H53" s="106">
        <f t="shared" si="23"/>
        <v>0</v>
      </c>
      <c r="I53" s="106">
        <v>0</v>
      </c>
      <c r="J53" s="106">
        <v>0</v>
      </c>
      <c r="K53" s="102">
        <f t="shared" si="8"/>
        <v>0</v>
      </c>
      <c r="L53" s="102"/>
      <c r="M53" s="102"/>
      <c r="N53" s="106"/>
      <c r="O53" s="106"/>
      <c r="P53" s="126"/>
      <c r="Q53" s="102">
        <f t="shared" si="3"/>
        <v>0</v>
      </c>
      <c r="R53" s="102">
        <f t="shared" si="4"/>
        <v>0</v>
      </c>
      <c r="S53" s="102">
        <f t="shared" si="10"/>
        <v>0</v>
      </c>
      <c r="T53" s="139"/>
      <c r="U53" s="139"/>
      <c r="V53" s="140"/>
    </row>
    <row r="54" ht="24" customHeight="1" spans="1:22">
      <c r="A54" s="112" t="s">
        <v>60</v>
      </c>
      <c r="B54" s="106">
        <f t="shared" ref="B54:B63" si="25">C54+D54</f>
        <v>1050313</v>
      </c>
      <c r="C54" s="110">
        <f>C55+C59</f>
        <v>550000</v>
      </c>
      <c r="D54" s="110">
        <f>D55+D59</f>
        <v>500313</v>
      </c>
      <c r="E54" s="106">
        <f t="shared" si="24"/>
        <v>833175.364503</v>
      </c>
      <c r="F54" s="110">
        <v>334776.928078</v>
      </c>
      <c r="G54" s="110">
        <v>498398.436425</v>
      </c>
      <c r="H54" s="106">
        <f t="shared" si="23"/>
        <v>1220000</v>
      </c>
      <c r="I54" s="110">
        <f>I55+I59</f>
        <v>600000</v>
      </c>
      <c r="J54" s="110">
        <f>J55+J59</f>
        <v>620000</v>
      </c>
      <c r="K54" s="102">
        <f t="shared" si="8"/>
        <v>948616</v>
      </c>
      <c r="L54" s="127">
        <f>L55+L59</f>
        <v>500000</v>
      </c>
      <c r="M54" s="127">
        <f t="shared" ref="M54" si="26">M55+M59</f>
        <v>448616</v>
      </c>
      <c r="N54" s="106"/>
      <c r="O54" s="110"/>
      <c r="P54" s="128">
        <f t="shared" ref="P54" si="27">P55+P59</f>
        <v>311000</v>
      </c>
      <c r="Q54" s="102">
        <f t="shared" si="3"/>
        <v>-271384</v>
      </c>
      <c r="R54" s="102">
        <f t="shared" si="4"/>
        <v>-100000</v>
      </c>
      <c r="S54" s="102">
        <f t="shared" si="10"/>
        <v>-171384</v>
      </c>
      <c r="T54" s="139">
        <f t="shared" si="5"/>
        <v>-22.2445901639344</v>
      </c>
      <c r="U54" s="139">
        <f t="shared" si="6"/>
        <v>-16.6666666666667</v>
      </c>
      <c r="V54" s="140">
        <f t="shared" si="7"/>
        <v>-27.6425806451613</v>
      </c>
    </row>
    <row r="55" ht="39" customHeight="1" spans="1:22">
      <c r="A55" s="105" t="s">
        <v>61</v>
      </c>
      <c r="B55" s="106">
        <f t="shared" si="25"/>
        <v>1040013</v>
      </c>
      <c r="C55" s="110">
        <f>SUM(C56:C58)</f>
        <v>541500</v>
      </c>
      <c r="D55" s="110">
        <f>SUM(D56:D58)</f>
        <v>498513</v>
      </c>
      <c r="E55" s="106">
        <f t="shared" si="24"/>
        <v>822418.59176</v>
      </c>
      <c r="F55" s="110">
        <v>326909.56715</v>
      </c>
      <c r="G55" s="110">
        <v>495509.02461</v>
      </c>
      <c r="H55" s="106">
        <f t="shared" si="23"/>
        <v>1206050</v>
      </c>
      <c r="I55" s="110">
        <f>SUM(I56:I58)</f>
        <v>588720</v>
      </c>
      <c r="J55" s="110">
        <f>SUM(J56:J58)</f>
        <v>617330</v>
      </c>
      <c r="K55" s="102">
        <f t="shared" si="8"/>
        <v>937959</v>
      </c>
      <c r="L55" s="127">
        <f>SUM(L56:L58)</f>
        <v>491300</v>
      </c>
      <c r="M55" s="127">
        <f>SUM(M56:M58)</f>
        <v>446659</v>
      </c>
      <c r="N55" s="106"/>
      <c r="O55" s="110"/>
      <c r="P55" s="128">
        <f>SUM(P56:P58)</f>
        <v>309000</v>
      </c>
      <c r="Q55" s="102">
        <f t="shared" si="3"/>
        <v>-268091</v>
      </c>
      <c r="R55" s="102">
        <f t="shared" si="4"/>
        <v>-97420</v>
      </c>
      <c r="S55" s="102">
        <f t="shared" si="10"/>
        <v>-170671</v>
      </c>
      <c r="T55" s="139">
        <f t="shared" si="5"/>
        <v>-22.2288462335724</v>
      </c>
      <c r="U55" s="139">
        <f t="shared" si="6"/>
        <v>-16.547764641935</v>
      </c>
      <c r="V55" s="140">
        <f t="shared" si="7"/>
        <v>-27.6466395606888</v>
      </c>
    </row>
    <row r="56" ht="33" customHeight="1" spans="1:22">
      <c r="A56" s="105" t="s">
        <v>62</v>
      </c>
      <c r="B56" s="106">
        <f t="shared" si="25"/>
        <v>1009558</v>
      </c>
      <c r="C56" s="106">
        <v>526000</v>
      </c>
      <c r="D56" s="110">
        <v>483558</v>
      </c>
      <c r="E56" s="106">
        <f t="shared" si="24"/>
        <v>797777.14926</v>
      </c>
      <c r="F56" s="108">
        <v>316953.12465</v>
      </c>
      <c r="G56" s="108">
        <v>480824.02461</v>
      </c>
      <c r="H56" s="106">
        <f t="shared" si="23"/>
        <v>1166750</v>
      </c>
      <c r="I56" s="106">
        <v>568020</v>
      </c>
      <c r="J56" s="106">
        <v>598730</v>
      </c>
      <c r="K56" s="102">
        <f t="shared" si="8"/>
        <v>904459</v>
      </c>
      <c r="L56" s="102">
        <v>471200</v>
      </c>
      <c r="M56" s="102">
        <v>433259</v>
      </c>
      <c r="N56" s="106"/>
      <c r="O56" s="106"/>
      <c r="P56" s="126">
        <v>300000</v>
      </c>
      <c r="Q56" s="102">
        <f t="shared" si="3"/>
        <v>-262291</v>
      </c>
      <c r="R56" s="102">
        <f t="shared" si="4"/>
        <v>-96820</v>
      </c>
      <c r="S56" s="102">
        <f t="shared" si="10"/>
        <v>-165471</v>
      </c>
      <c r="T56" s="139">
        <f t="shared" si="5"/>
        <v>-22.4804799657167</v>
      </c>
      <c r="U56" s="139">
        <f t="shared" si="6"/>
        <v>-17.0451744656878</v>
      </c>
      <c r="V56" s="140">
        <f t="shared" si="7"/>
        <v>-27.6369983130961</v>
      </c>
    </row>
    <row r="57" ht="33" customHeight="1" spans="1:22">
      <c r="A57" s="105" t="s">
        <v>63</v>
      </c>
      <c r="B57" s="106">
        <f t="shared" si="25"/>
        <v>29955</v>
      </c>
      <c r="C57" s="106">
        <v>15000</v>
      </c>
      <c r="D57" s="110">
        <v>14955</v>
      </c>
      <c r="E57" s="106">
        <f t="shared" si="24"/>
        <v>24174</v>
      </c>
      <c r="F57" s="108">
        <v>9489</v>
      </c>
      <c r="G57" s="108">
        <v>14685</v>
      </c>
      <c r="H57" s="106">
        <f t="shared" si="23"/>
        <v>38600</v>
      </c>
      <c r="I57" s="106">
        <v>20000</v>
      </c>
      <c r="J57" s="106">
        <v>18600</v>
      </c>
      <c r="K57" s="102">
        <f t="shared" si="8"/>
        <v>33400</v>
      </c>
      <c r="L57" s="102">
        <v>20000</v>
      </c>
      <c r="M57" s="102">
        <v>13400</v>
      </c>
      <c r="N57" s="106"/>
      <c r="O57" s="106"/>
      <c r="P57" s="126">
        <v>9000</v>
      </c>
      <c r="Q57" s="102">
        <f t="shared" si="3"/>
        <v>-5200</v>
      </c>
      <c r="R57" s="102">
        <f t="shared" si="4"/>
        <v>0</v>
      </c>
      <c r="S57" s="102">
        <f t="shared" si="10"/>
        <v>-5200</v>
      </c>
      <c r="T57" s="139">
        <f t="shared" si="5"/>
        <v>-13.4715025906736</v>
      </c>
      <c r="U57" s="139">
        <f t="shared" si="6"/>
        <v>0</v>
      </c>
      <c r="V57" s="140">
        <f t="shared" si="7"/>
        <v>-27.9569892473118</v>
      </c>
    </row>
    <row r="58" ht="33" customHeight="1" spans="1:22">
      <c r="A58" s="105" t="s">
        <v>64</v>
      </c>
      <c r="B58" s="106">
        <f t="shared" si="25"/>
        <v>500</v>
      </c>
      <c r="C58" s="106">
        <v>500</v>
      </c>
      <c r="D58" s="110"/>
      <c r="E58" s="106">
        <f t="shared" si="24"/>
        <v>467.4425</v>
      </c>
      <c r="F58" s="108">
        <v>467.4425</v>
      </c>
      <c r="G58" s="108">
        <v>0</v>
      </c>
      <c r="H58" s="106">
        <f t="shared" si="23"/>
        <v>700</v>
      </c>
      <c r="I58" s="106">
        <v>700</v>
      </c>
      <c r="J58" s="106">
        <v>0</v>
      </c>
      <c r="K58" s="102">
        <f t="shared" si="8"/>
        <v>100</v>
      </c>
      <c r="L58" s="102">
        <v>100</v>
      </c>
      <c r="M58" s="102"/>
      <c r="N58" s="106"/>
      <c r="O58" s="106"/>
      <c r="P58" s="126"/>
      <c r="Q58" s="102">
        <f t="shared" si="3"/>
        <v>-600</v>
      </c>
      <c r="R58" s="102">
        <f t="shared" si="4"/>
        <v>-600</v>
      </c>
      <c r="S58" s="102">
        <f t="shared" si="10"/>
        <v>0</v>
      </c>
      <c r="T58" s="139">
        <f t="shared" si="5"/>
        <v>-85.7142857142857</v>
      </c>
      <c r="U58" s="139">
        <f t="shared" si="6"/>
        <v>-85.7142857142857</v>
      </c>
      <c r="V58" s="140"/>
    </row>
    <row r="59" ht="31.5" customHeight="1" spans="1:22">
      <c r="A59" s="105" t="s">
        <v>65</v>
      </c>
      <c r="B59" s="106">
        <f t="shared" si="25"/>
        <v>10300</v>
      </c>
      <c r="C59" s="110">
        <f>SUM(C60:C63)</f>
        <v>8500</v>
      </c>
      <c r="D59" s="110">
        <f>SUM(D60:D63)</f>
        <v>1800</v>
      </c>
      <c r="E59" s="106">
        <f t="shared" si="24"/>
        <v>10756.772743</v>
      </c>
      <c r="F59" s="110">
        <v>7867.360928</v>
      </c>
      <c r="G59" s="110">
        <v>2889.411815</v>
      </c>
      <c r="H59" s="106">
        <f t="shared" si="23"/>
        <v>13950</v>
      </c>
      <c r="I59" s="110">
        <f>SUM(I60:I63)</f>
        <v>11280</v>
      </c>
      <c r="J59" s="110">
        <f>SUM(J60:J63)</f>
        <v>2670</v>
      </c>
      <c r="K59" s="102">
        <f t="shared" si="8"/>
        <v>10657</v>
      </c>
      <c r="L59" s="127">
        <v>8700</v>
      </c>
      <c r="M59" s="127">
        <f>SUM(M60:M63)</f>
        <v>1957</v>
      </c>
      <c r="N59" s="106"/>
      <c r="O59" s="110"/>
      <c r="P59" s="128">
        <f>SUM(P60:P63)</f>
        <v>2000</v>
      </c>
      <c r="Q59" s="102">
        <f t="shared" si="3"/>
        <v>-3293</v>
      </c>
      <c r="R59" s="102">
        <f t="shared" si="4"/>
        <v>-2580</v>
      </c>
      <c r="S59" s="102">
        <f t="shared" si="10"/>
        <v>-713</v>
      </c>
      <c r="T59" s="139">
        <f t="shared" si="5"/>
        <v>-23.6057347670251</v>
      </c>
      <c r="U59" s="139">
        <f t="shared" si="6"/>
        <v>-22.8723404255319</v>
      </c>
      <c r="V59" s="140">
        <f t="shared" si="7"/>
        <v>-26.7041198501873</v>
      </c>
    </row>
    <row r="60" ht="36" customHeight="1" spans="1:22">
      <c r="A60" s="105" t="s">
        <v>66</v>
      </c>
      <c r="B60" s="106">
        <f t="shared" si="25"/>
        <v>6800</v>
      </c>
      <c r="C60" s="107">
        <v>5000</v>
      </c>
      <c r="D60" s="110">
        <v>1800</v>
      </c>
      <c r="E60" s="106">
        <f t="shared" si="24"/>
        <v>5398.226944</v>
      </c>
      <c r="F60" s="108">
        <v>2508.815129</v>
      </c>
      <c r="G60" s="108">
        <v>2889.411815</v>
      </c>
      <c r="H60" s="106">
        <f t="shared" si="23"/>
        <v>9668</v>
      </c>
      <c r="I60" s="106">
        <v>6998</v>
      </c>
      <c r="J60" s="106">
        <v>2670</v>
      </c>
      <c r="K60" s="102">
        <f t="shared" si="8"/>
        <v>5657</v>
      </c>
      <c r="L60" s="102">
        <v>3700</v>
      </c>
      <c r="M60" s="102">
        <v>1957</v>
      </c>
      <c r="N60" s="106"/>
      <c r="O60" s="106"/>
      <c r="P60" s="126">
        <v>2000</v>
      </c>
      <c r="Q60" s="102">
        <f t="shared" si="3"/>
        <v>-4011</v>
      </c>
      <c r="R60" s="102">
        <f t="shared" si="4"/>
        <v>-3298</v>
      </c>
      <c r="S60" s="102">
        <f t="shared" si="10"/>
        <v>-713</v>
      </c>
      <c r="T60" s="139">
        <f t="shared" si="5"/>
        <v>-41.4873810508895</v>
      </c>
      <c r="U60" s="139">
        <f t="shared" si="6"/>
        <v>-47.1277507859388</v>
      </c>
      <c r="V60" s="140">
        <f t="shared" si="7"/>
        <v>-26.7041198501873</v>
      </c>
    </row>
    <row r="61" s="94" customFormat="1" ht="36" customHeight="1" spans="1:22">
      <c r="A61" s="105" t="s">
        <v>67</v>
      </c>
      <c r="B61" s="106">
        <f t="shared" si="25"/>
        <v>1000</v>
      </c>
      <c r="C61" s="106">
        <v>1000</v>
      </c>
      <c r="D61" s="114"/>
      <c r="E61" s="106">
        <f t="shared" si="24"/>
        <v>1156.316327</v>
      </c>
      <c r="F61" s="108">
        <v>1156.316327</v>
      </c>
      <c r="G61" s="108">
        <v>0</v>
      </c>
      <c r="H61" s="106">
        <f t="shared" si="23"/>
        <v>982</v>
      </c>
      <c r="I61" s="106">
        <v>982</v>
      </c>
      <c r="J61" s="106">
        <f>G61*1.04</f>
        <v>0</v>
      </c>
      <c r="K61" s="102">
        <f t="shared" si="8"/>
        <v>1000</v>
      </c>
      <c r="L61" s="102">
        <v>1000</v>
      </c>
      <c r="M61" s="102"/>
      <c r="N61" s="106"/>
      <c r="O61" s="106"/>
      <c r="P61" s="126"/>
      <c r="Q61" s="102">
        <f t="shared" si="3"/>
        <v>18</v>
      </c>
      <c r="R61" s="102">
        <f t="shared" si="4"/>
        <v>18</v>
      </c>
      <c r="S61" s="102">
        <f t="shared" si="10"/>
        <v>0</v>
      </c>
      <c r="T61" s="139">
        <f t="shared" si="5"/>
        <v>1.83299389002037</v>
      </c>
      <c r="U61" s="139">
        <f t="shared" si="6"/>
        <v>1.83299389002037</v>
      </c>
      <c r="V61" s="140"/>
    </row>
    <row r="62" s="94" customFormat="1" ht="36" customHeight="1" spans="1:22">
      <c r="A62" s="105" t="s">
        <v>68</v>
      </c>
      <c r="B62" s="106">
        <f t="shared" si="25"/>
        <v>0</v>
      </c>
      <c r="C62" s="106"/>
      <c r="D62" s="114"/>
      <c r="E62" s="106">
        <f t="shared" si="24"/>
        <v>3925.882126</v>
      </c>
      <c r="F62" s="108">
        <v>3925.882126</v>
      </c>
      <c r="G62" s="108">
        <v>0</v>
      </c>
      <c r="H62" s="106">
        <f t="shared" si="23"/>
        <v>0</v>
      </c>
      <c r="I62" s="106"/>
      <c r="J62" s="106">
        <f>G62*1.04</f>
        <v>0</v>
      </c>
      <c r="K62" s="102">
        <f t="shared" si="8"/>
        <v>0</v>
      </c>
      <c r="L62" s="102"/>
      <c r="M62" s="102"/>
      <c r="N62" s="106"/>
      <c r="O62" s="106"/>
      <c r="P62" s="126"/>
      <c r="Q62" s="102">
        <f t="shared" si="3"/>
        <v>0</v>
      </c>
      <c r="R62" s="102">
        <f t="shared" si="4"/>
        <v>0</v>
      </c>
      <c r="S62" s="102">
        <f t="shared" si="10"/>
        <v>0</v>
      </c>
      <c r="T62" s="139"/>
      <c r="U62" s="139"/>
      <c r="V62" s="140"/>
    </row>
    <row r="63" ht="36" customHeight="1" spans="1:22">
      <c r="A63" s="105" t="s">
        <v>69</v>
      </c>
      <c r="B63" s="106">
        <f t="shared" si="25"/>
        <v>2500</v>
      </c>
      <c r="C63" s="110">
        <v>2500</v>
      </c>
      <c r="D63" s="114"/>
      <c r="E63" s="106">
        <f t="shared" si="24"/>
        <v>276.347346</v>
      </c>
      <c r="F63" s="108">
        <v>276.347346</v>
      </c>
      <c r="G63" s="108">
        <v>0</v>
      </c>
      <c r="H63" s="106">
        <f t="shared" si="23"/>
        <v>3300</v>
      </c>
      <c r="I63" s="106">
        <v>3300</v>
      </c>
      <c r="J63" s="106">
        <f>G63*1.04</f>
        <v>0</v>
      </c>
      <c r="K63" s="102">
        <f t="shared" si="8"/>
        <v>4000</v>
      </c>
      <c r="L63" s="102">
        <v>4000</v>
      </c>
      <c r="M63" s="102"/>
      <c r="N63" s="106"/>
      <c r="O63" s="106"/>
      <c r="P63" s="126"/>
      <c r="Q63" s="102">
        <f t="shared" si="3"/>
        <v>700</v>
      </c>
      <c r="R63" s="102">
        <f t="shared" si="4"/>
        <v>700</v>
      </c>
      <c r="S63" s="102">
        <f t="shared" si="10"/>
        <v>0</v>
      </c>
      <c r="T63" s="139">
        <f t="shared" si="5"/>
        <v>21.2121212121212</v>
      </c>
      <c r="U63" s="139">
        <f t="shared" si="6"/>
        <v>21.2121212121212</v>
      </c>
      <c r="V63" s="140"/>
    </row>
  </sheetData>
  <autoFilter ref="A4:V63">
    <extLst/>
  </autoFilter>
  <mergeCells count="12">
    <mergeCell ref="A1:V1"/>
    <mergeCell ref="A2:H2"/>
    <mergeCell ref="K2:M2"/>
    <mergeCell ref="Q2:V2"/>
    <mergeCell ref="B3:D3"/>
    <mergeCell ref="E3:G3"/>
    <mergeCell ref="H3:J3"/>
    <mergeCell ref="K3:M3"/>
    <mergeCell ref="N3:P3"/>
    <mergeCell ref="Q3:S3"/>
    <mergeCell ref="T3:V3"/>
    <mergeCell ref="A3:A4"/>
  </mergeCells>
  <pageMargins left="0.393055555555556" right="0.314583333333333" top="0.156944444444444" bottom="0.156944444444444" header="0.118055555555556" footer="0.118055555555556"/>
  <pageSetup paperSize="9" firstPageNumber="7" orientation="landscape" useFirstPageNumber="1" horizontalDpi="600"/>
  <headerFooter>
    <oddFooter>&amp;C&amp;P</oddFooter>
    <firstFooter>&amp;L日&amp;C&amp;P</first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8"/>
  <sheetViews>
    <sheetView view="pageBreakPreview" zoomScaleNormal="100" workbookViewId="0">
      <selection activeCell="F78" sqref="F78"/>
    </sheetView>
  </sheetViews>
  <sheetFormatPr defaultColWidth="9" defaultRowHeight="14.25"/>
  <cols>
    <col min="1" max="1" width="21.625" style="53" customWidth="1"/>
    <col min="2" max="2" width="10.625" style="53" customWidth="1"/>
    <col min="3" max="3" width="9.625" style="53" customWidth="1"/>
    <col min="4" max="5" width="8.875" style="53" customWidth="1"/>
    <col min="6" max="6" width="9.625" style="53" customWidth="1"/>
    <col min="7" max="7" width="9.75" style="53" customWidth="1"/>
    <col min="8" max="8" width="9.625" style="53" customWidth="1"/>
    <col min="9" max="9" width="9.375" style="53" customWidth="1"/>
    <col min="10" max="10" width="8" style="53" customWidth="1"/>
    <col min="11" max="12" width="8.5" style="54" customWidth="1"/>
    <col min="13" max="13" width="7.375" style="54" customWidth="1"/>
    <col min="14" max="14" width="7.375" style="53" customWidth="1"/>
    <col min="15" max="16384" width="9" style="53"/>
  </cols>
  <sheetData>
    <row r="1" ht="27" customHeight="1" spans="1:14">
      <c r="A1" s="55" t="s">
        <v>70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2" customFormat="1" ht="30" customHeight="1" spans="1:19">
      <c r="A2" s="56" t="s">
        <v>71</v>
      </c>
      <c r="B2" s="56"/>
      <c r="C2" s="56"/>
      <c r="D2" s="56"/>
      <c r="E2" s="56"/>
      <c r="F2" s="56"/>
      <c r="G2" s="56"/>
      <c r="H2" s="56"/>
      <c r="I2" s="56"/>
      <c r="J2" s="72"/>
      <c r="K2" s="72"/>
      <c r="L2" s="73"/>
      <c r="M2" s="74" t="s">
        <v>3</v>
      </c>
      <c r="N2" s="74"/>
      <c r="O2" s="75"/>
      <c r="P2" s="75"/>
      <c r="Q2" s="75"/>
      <c r="R2" s="75"/>
      <c r="S2" s="75"/>
    </row>
    <row r="3" ht="27.75" customHeight="1" spans="1:14">
      <c r="A3" s="57" t="s">
        <v>72</v>
      </c>
      <c r="B3" s="58" t="s">
        <v>73</v>
      </c>
      <c r="C3" s="59"/>
      <c r="D3" s="60"/>
      <c r="E3" s="58" t="s">
        <v>8</v>
      </c>
      <c r="F3" s="59"/>
      <c r="G3" s="60"/>
      <c r="H3" s="58" t="s">
        <v>74</v>
      </c>
      <c r="I3" s="59"/>
      <c r="J3" s="60"/>
      <c r="K3" s="76" t="s">
        <v>75</v>
      </c>
      <c r="L3" s="77"/>
      <c r="M3" s="78"/>
      <c r="N3" s="79" t="s">
        <v>76</v>
      </c>
    </row>
    <row r="4" ht="27.75" customHeight="1" spans="1:14">
      <c r="A4" s="61"/>
      <c r="B4" s="62" t="s">
        <v>12</v>
      </c>
      <c r="C4" s="62" t="s">
        <v>13</v>
      </c>
      <c r="D4" s="62" t="s">
        <v>14</v>
      </c>
      <c r="E4" s="62" t="s">
        <v>12</v>
      </c>
      <c r="F4" s="62" t="s">
        <v>13</v>
      </c>
      <c r="G4" s="62" t="s">
        <v>14</v>
      </c>
      <c r="H4" s="62" t="s">
        <v>12</v>
      </c>
      <c r="I4" s="79" t="s">
        <v>13</v>
      </c>
      <c r="J4" s="62" t="s">
        <v>14</v>
      </c>
      <c r="K4" s="80" t="s">
        <v>12</v>
      </c>
      <c r="L4" s="81" t="s">
        <v>13</v>
      </c>
      <c r="M4" s="80" t="s">
        <v>14</v>
      </c>
      <c r="N4" s="82"/>
    </row>
    <row r="5" ht="28.5" customHeight="1" spans="1:14">
      <c r="A5" s="63" t="s">
        <v>77</v>
      </c>
      <c r="B5" s="64">
        <f>C5+D5</f>
        <v>824735.96</v>
      </c>
      <c r="C5" s="65">
        <v>658691</v>
      </c>
      <c r="D5" s="65">
        <v>166044.96</v>
      </c>
      <c r="E5" s="64">
        <f>F5+G5</f>
        <v>718083</v>
      </c>
      <c r="F5" s="66">
        <v>550425</v>
      </c>
      <c r="G5" s="65">
        <v>167658</v>
      </c>
      <c r="H5" s="67">
        <f>E5-B5</f>
        <v>-106652.96</v>
      </c>
      <c r="I5" s="67">
        <f>F5-C5</f>
        <v>-108266</v>
      </c>
      <c r="J5" s="65">
        <f>G5-D5</f>
        <v>1613.04000000001</v>
      </c>
      <c r="K5" s="83">
        <f>H5/B5*100</f>
        <v>-12.9317703086452</v>
      </c>
      <c r="L5" s="83">
        <f>I5/C5*100</f>
        <v>-16.436538528688</v>
      </c>
      <c r="M5" s="84">
        <f>J5/D5*100</f>
        <v>0.971447733192268</v>
      </c>
      <c r="N5" s="85"/>
    </row>
    <row r="6" ht="21" customHeight="1" spans="1:14">
      <c r="A6" s="63" t="s">
        <v>78</v>
      </c>
      <c r="B6" s="64">
        <f t="shared" ref="B6:B69" si="0">C6+D6</f>
        <v>71596</v>
      </c>
      <c r="C6" s="67">
        <v>71540</v>
      </c>
      <c r="D6" s="67">
        <v>56</v>
      </c>
      <c r="E6" s="64">
        <f t="shared" ref="E6:E60" si="1">F6+G6</f>
        <v>77138.81</v>
      </c>
      <c r="F6" s="67">
        <f>F7+F12</f>
        <v>77067.81</v>
      </c>
      <c r="G6" s="67">
        <v>71</v>
      </c>
      <c r="H6" s="67">
        <f t="shared" ref="H6:J46" si="2">E6-B6</f>
        <v>5542.81</v>
      </c>
      <c r="I6" s="67">
        <f t="shared" si="2"/>
        <v>5527.81</v>
      </c>
      <c r="J6" s="65">
        <f t="shared" si="2"/>
        <v>15</v>
      </c>
      <c r="K6" s="83">
        <f t="shared" ref="K6:K69" si="3">H6/B6*100</f>
        <v>7.7417872506844</v>
      </c>
      <c r="L6" s="83">
        <f t="shared" ref="L6:L69" si="4">I6/C6*100</f>
        <v>7.72688006709533</v>
      </c>
      <c r="M6" s="84">
        <f t="shared" ref="M6:M28" si="5">J6/D6*100</f>
        <v>26.7857142857143</v>
      </c>
      <c r="N6" s="85"/>
    </row>
    <row r="7" ht="24" customHeight="1" spans="1:14">
      <c r="A7" s="63" t="s">
        <v>79</v>
      </c>
      <c r="B7" s="64">
        <f t="shared" si="0"/>
        <v>37017</v>
      </c>
      <c r="C7" s="64">
        <v>37017</v>
      </c>
      <c r="D7" s="64"/>
      <c r="E7" s="64">
        <f t="shared" si="1"/>
        <v>36516</v>
      </c>
      <c r="F7" s="64">
        <v>36516</v>
      </c>
      <c r="G7" s="64"/>
      <c r="H7" s="67">
        <f t="shared" si="2"/>
        <v>-501</v>
      </c>
      <c r="I7" s="67">
        <f t="shared" si="2"/>
        <v>-501</v>
      </c>
      <c r="J7" s="65">
        <f t="shared" si="2"/>
        <v>0</v>
      </c>
      <c r="K7" s="83">
        <f t="shared" si="3"/>
        <v>-1.35343220682389</v>
      </c>
      <c r="L7" s="83">
        <f t="shared" si="4"/>
        <v>-1.35343220682389</v>
      </c>
      <c r="M7" s="84"/>
      <c r="N7" s="85"/>
    </row>
    <row r="8" ht="28.5" customHeight="1" spans="1:14">
      <c r="A8" s="68" t="s">
        <v>80</v>
      </c>
      <c r="B8" s="64">
        <f t="shared" si="0"/>
        <v>3181</v>
      </c>
      <c r="C8" s="67">
        <v>3181</v>
      </c>
      <c r="D8" s="67"/>
      <c r="E8" s="64">
        <f t="shared" si="1"/>
        <v>3181</v>
      </c>
      <c r="F8" s="67">
        <v>3181</v>
      </c>
      <c r="G8" s="67"/>
      <c r="H8" s="67">
        <f t="shared" si="2"/>
        <v>0</v>
      </c>
      <c r="I8" s="67">
        <f t="shared" si="2"/>
        <v>0</v>
      </c>
      <c r="J8" s="65">
        <f t="shared" si="2"/>
        <v>0</v>
      </c>
      <c r="K8" s="83">
        <f t="shared" si="3"/>
        <v>0</v>
      </c>
      <c r="L8" s="83">
        <f t="shared" si="4"/>
        <v>0</v>
      </c>
      <c r="M8" s="84"/>
      <c r="N8" s="85" t="s">
        <v>81</v>
      </c>
    </row>
    <row r="9" ht="28.5" customHeight="1" spans="1:14">
      <c r="A9" s="68" t="s">
        <v>82</v>
      </c>
      <c r="B9" s="64">
        <f t="shared" si="0"/>
        <v>3409</v>
      </c>
      <c r="C9" s="67">
        <v>3409</v>
      </c>
      <c r="D9" s="67"/>
      <c r="E9" s="64">
        <f t="shared" si="1"/>
        <v>3409</v>
      </c>
      <c r="F9" s="67">
        <v>3409</v>
      </c>
      <c r="G9" s="67"/>
      <c r="H9" s="67">
        <f t="shared" si="2"/>
        <v>0</v>
      </c>
      <c r="I9" s="67">
        <f t="shared" si="2"/>
        <v>0</v>
      </c>
      <c r="J9" s="65">
        <f t="shared" si="2"/>
        <v>0</v>
      </c>
      <c r="K9" s="83">
        <f t="shared" si="3"/>
        <v>0</v>
      </c>
      <c r="L9" s="83">
        <f t="shared" si="4"/>
        <v>0</v>
      </c>
      <c r="M9" s="84"/>
      <c r="N9" s="85" t="s">
        <v>81</v>
      </c>
    </row>
    <row r="10" ht="28.5" customHeight="1" spans="1:14">
      <c r="A10" s="68" t="s">
        <v>83</v>
      </c>
      <c r="B10" s="64">
        <f t="shared" si="0"/>
        <v>427</v>
      </c>
      <c r="C10" s="67">
        <v>427</v>
      </c>
      <c r="D10" s="67"/>
      <c r="E10" s="64">
        <f t="shared" si="1"/>
        <v>427</v>
      </c>
      <c r="F10" s="67">
        <v>427</v>
      </c>
      <c r="G10" s="67"/>
      <c r="H10" s="67">
        <f t="shared" si="2"/>
        <v>0</v>
      </c>
      <c r="I10" s="67">
        <f t="shared" si="2"/>
        <v>0</v>
      </c>
      <c r="J10" s="65">
        <f t="shared" si="2"/>
        <v>0</v>
      </c>
      <c r="K10" s="83">
        <f t="shared" si="3"/>
        <v>0</v>
      </c>
      <c r="L10" s="83">
        <f t="shared" si="4"/>
        <v>0</v>
      </c>
      <c r="M10" s="84"/>
      <c r="N10" s="85" t="s">
        <v>81</v>
      </c>
    </row>
    <row r="11" ht="28.5" customHeight="1" spans="1:14">
      <c r="A11" s="68" t="s">
        <v>84</v>
      </c>
      <c r="B11" s="64">
        <f t="shared" si="0"/>
        <v>30000</v>
      </c>
      <c r="C11" s="67">
        <v>30000</v>
      </c>
      <c r="D11" s="67"/>
      <c r="E11" s="64">
        <f t="shared" si="1"/>
        <v>29499</v>
      </c>
      <c r="F11" s="67">
        <v>29499</v>
      </c>
      <c r="G11" s="67"/>
      <c r="H11" s="67">
        <f t="shared" si="2"/>
        <v>-501</v>
      </c>
      <c r="I11" s="67">
        <f t="shared" si="2"/>
        <v>-501</v>
      </c>
      <c r="J11" s="65">
        <f t="shared" si="2"/>
        <v>0</v>
      </c>
      <c r="K11" s="83">
        <f t="shared" si="3"/>
        <v>-1.67</v>
      </c>
      <c r="L11" s="83">
        <f t="shared" si="4"/>
        <v>-1.67</v>
      </c>
      <c r="M11" s="84"/>
      <c r="N11" s="85" t="s">
        <v>81</v>
      </c>
    </row>
    <row r="12" ht="28.5" customHeight="1" spans="1:14">
      <c r="A12" s="63" t="s">
        <v>85</v>
      </c>
      <c r="B12" s="64">
        <f t="shared" si="0"/>
        <v>34579</v>
      </c>
      <c r="C12" s="67">
        <v>34523</v>
      </c>
      <c r="D12" s="67">
        <v>56</v>
      </c>
      <c r="E12" s="64">
        <f t="shared" si="1"/>
        <v>40622.81</v>
      </c>
      <c r="F12" s="67">
        <f>F13+F14+F15+F20+F25+F31+F32+F33+F34+F35+F40+F42</f>
        <v>40551.81</v>
      </c>
      <c r="G12" s="67">
        <v>71</v>
      </c>
      <c r="H12" s="67">
        <f t="shared" si="2"/>
        <v>6043.81</v>
      </c>
      <c r="I12" s="67">
        <f t="shared" si="2"/>
        <v>6028.81</v>
      </c>
      <c r="J12" s="65">
        <f t="shared" si="2"/>
        <v>15</v>
      </c>
      <c r="K12" s="83">
        <f t="shared" si="3"/>
        <v>17.4782671563666</v>
      </c>
      <c r="L12" s="83">
        <f t="shared" si="4"/>
        <v>17.4631694812154</v>
      </c>
      <c r="M12" s="84">
        <f t="shared" si="5"/>
        <v>26.7857142857143</v>
      </c>
      <c r="N12" s="85"/>
    </row>
    <row r="13" ht="28.5" customHeight="1" spans="1:14">
      <c r="A13" s="63" t="s">
        <v>86</v>
      </c>
      <c r="B13" s="64">
        <f t="shared" si="0"/>
        <v>0</v>
      </c>
      <c r="C13" s="67"/>
      <c r="D13" s="67"/>
      <c r="E13" s="64">
        <f t="shared" si="1"/>
        <v>0</v>
      </c>
      <c r="F13" s="67"/>
      <c r="G13" s="67"/>
      <c r="H13" s="67">
        <f t="shared" si="2"/>
        <v>0</v>
      </c>
      <c r="I13" s="67">
        <f t="shared" si="2"/>
        <v>0</v>
      </c>
      <c r="J13" s="65">
        <f t="shared" si="2"/>
        <v>0</v>
      </c>
      <c r="K13" s="83"/>
      <c r="L13" s="83"/>
      <c r="M13" s="84"/>
      <c r="N13" s="85" t="s">
        <v>87</v>
      </c>
    </row>
    <row r="14" ht="28.5" customHeight="1" spans="1:14">
      <c r="A14" s="63" t="s">
        <v>88</v>
      </c>
      <c r="B14" s="64">
        <f t="shared" si="0"/>
        <v>0</v>
      </c>
      <c r="C14" s="67"/>
      <c r="D14" s="67"/>
      <c r="E14" s="64">
        <f t="shared" si="1"/>
        <v>134</v>
      </c>
      <c r="F14" s="67">
        <v>134</v>
      </c>
      <c r="G14" s="67"/>
      <c r="H14" s="67">
        <f t="shared" si="2"/>
        <v>134</v>
      </c>
      <c r="I14" s="67">
        <f t="shared" si="2"/>
        <v>134</v>
      </c>
      <c r="J14" s="65">
        <f t="shared" si="2"/>
        <v>0</v>
      </c>
      <c r="K14" s="83"/>
      <c r="L14" s="83"/>
      <c r="M14" s="84"/>
      <c r="N14" s="85" t="s">
        <v>87</v>
      </c>
    </row>
    <row r="15" ht="28.5" customHeight="1" spans="1:14">
      <c r="A15" s="63" t="s">
        <v>89</v>
      </c>
      <c r="B15" s="64">
        <f t="shared" si="0"/>
        <v>10529</v>
      </c>
      <c r="C15" s="64">
        <v>10529</v>
      </c>
      <c r="D15" s="64"/>
      <c r="E15" s="64">
        <f t="shared" si="1"/>
        <v>12132</v>
      </c>
      <c r="F15" s="64">
        <f>F16+F17+F18+F19</f>
        <v>12132</v>
      </c>
      <c r="G15" s="64"/>
      <c r="H15" s="67">
        <f t="shared" si="2"/>
        <v>1603</v>
      </c>
      <c r="I15" s="67">
        <f t="shared" si="2"/>
        <v>1603</v>
      </c>
      <c r="J15" s="65">
        <f t="shared" si="2"/>
        <v>0</v>
      </c>
      <c r="K15" s="83">
        <f t="shared" si="3"/>
        <v>15.2246177224808</v>
      </c>
      <c r="L15" s="83">
        <f t="shared" si="4"/>
        <v>15.2246177224808</v>
      </c>
      <c r="M15" s="84"/>
      <c r="N15" s="85"/>
    </row>
    <row r="16" ht="28.5" customHeight="1" spans="1:14">
      <c r="A16" s="63" t="s">
        <v>90</v>
      </c>
      <c r="B16" s="64">
        <f t="shared" si="0"/>
        <v>1801</v>
      </c>
      <c r="C16" s="67">
        <v>1801</v>
      </c>
      <c r="D16" s="67"/>
      <c r="E16" s="64">
        <f t="shared" si="1"/>
        <v>1341</v>
      </c>
      <c r="F16" s="67">
        <v>1341</v>
      </c>
      <c r="G16" s="67"/>
      <c r="H16" s="67">
        <f t="shared" si="2"/>
        <v>-460</v>
      </c>
      <c r="I16" s="67">
        <f t="shared" si="2"/>
        <v>-460</v>
      </c>
      <c r="J16" s="65">
        <f t="shared" si="2"/>
        <v>0</v>
      </c>
      <c r="K16" s="83">
        <f t="shared" si="3"/>
        <v>-25.541365907829</v>
      </c>
      <c r="L16" s="83">
        <f t="shared" si="4"/>
        <v>-25.541365907829</v>
      </c>
      <c r="M16" s="84"/>
      <c r="N16" s="85" t="s">
        <v>81</v>
      </c>
    </row>
    <row r="17" ht="28.5" customHeight="1" spans="1:14">
      <c r="A17" s="69" t="s">
        <v>91</v>
      </c>
      <c r="B17" s="64">
        <f t="shared" si="0"/>
        <v>1074</v>
      </c>
      <c r="C17" s="67">
        <v>1074</v>
      </c>
      <c r="D17" s="67"/>
      <c r="E17" s="64">
        <f t="shared" si="1"/>
        <v>1074</v>
      </c>
      <c r="F17" s="67">
        <v>1074</v>
      </c>
      <c r="G17" s="67"/>
      <c r="H17" s="67">
        <f t="shared" si="2"/>
        <v>0</v>
      </c>
      <c r="I17" s="67">
        <f t="shared" si="2"/>
        <v>0</v>
      </c>
      <c r="J17" s="65">
        <f t="shared" si="2"/>
        <v>0</v>
      </c>
      <c r="K17" s="83">
        <f t="shared" si="3"/>
        <v>0</v>
      </c>
      <c r="L17" s="83">
        <f t="shared" si="4"/>
        <v>0</v>
      </c>
      <c r="M17" s="84"/>
      <c r="N17" s="85" t="s">
        <v>81</v>
      </c>
    </row>
    <row r="18" ht="47.25" customHeight="1" spans="1:14">
      <c r="A18" s="63" t="s">
        <v>92</v>
      </c>
      <c r="B18" s="64">
        <f t="shared" si="0"/>
        <v>6701</v>
      </c>
      <c r="C18" s="67">
        <v>6701</v>
      </c>
      <c r="D18" s="67"/>
      <c r="E18" s="64">
        <f t="shared" si="1"/>
        <v>6701</v>
      </c>
      <c r="F18" s="67">
        <v>6701</v>
      </c>
      <c r="G18" s="67"/>
      <c r="H18" s="67">
        <f t="shared" si="2"/>
        <v>0</v>
      </c>
      <c r="I18" s="67">
        <f t="shared" si="2"/>
        <v>0</v>
      </c>
      <c r="J18" s="65">
        <f t="shared" si="2"/>
        <v>0</v>
      </c>
      <c r="K18" s="83">
        <f t="shared" si="3"/>
        <v>0</v>
      </c>
      <c r="L18" s="83">
        <f t="shared" si="4"/>
        <v>0</v>
      </c>
      <c r="M18" s="84"/>
      <c r="N18" s="85" t="s">
        <v>81</v>
      </c>
    </row>
    <row r="19" ht="28.5" customHeight="1" spans="1:14">
      <c r="A19" s="63" t="s">
        <v>93</v>
      </c>
      <c r="B19" s="64">
        <f t="shared" si="0"/>
        <v>1500</v>
      </c>
      <c r="C19" s="67">
        <v>1500</v>
      </c>
      <c r="D19" s="67"/>
      <c r="E19" s="64">
        <f t="shared" si="1"/>
        <v>3016</v>
      </c>
      <c r="F19" s="67">
        <v>3016</v>
      </c>
      <c r="G19" s="67"/>
      <c r="H19" s="67">
        <f t="shared" si="2"/>
        <v>1516</v>
      </c>
      <c r="I19" s="67">
        <f t="shared" si="2"/>
        <v>1516</v>
      </c>
      <c r="J19" s="65">
        <f t="shared" si="2"/>
        <v>0</v>
      </c>
      <c r="K19" s="83">
        <f t="shared" si="3"/>
        <v>101.066666666667</v>
      </c>
      <c r="L19" s="83">
        <f t="shared" si="4"/>
        <v>101.066666666667</v>
      </c>
      <c r="M19" s="84"/>
      <c r="N19" s="85" t="s">
        <v>81</v>
      </c>
    </row>
    <row r="20" ht="28.5" customHeight="1" spans="1:14">
      <c r="A20" s="63" t="s">
        <v>94</v>
      </c>
      <c r="B20" s="64">
        <f t="shared" si="0"/>
        <v>1668</v>
      </c>
      <c r="C20" s="67">
        <v>1668</v>
      </c>
      <c r="D20" s="67"/>
      <c r="E20" s="64">
        <f t="shared" si="1"/>
        <v>1693</v>
      </c>
      <c r="F20" s="67">
        <f>F21+F22+F23+F24</f>
        <v>1693</v>
      </c>
      <c r="G20" s="67"/>
      <c r="H20" s="67">
        <f t="shared" si="2"/>
        <v>25</v>
      </c>
      <c r="I20" s="67">
        <f t="shared" si="2"/>
        <v>25</v>
      </c>
      <c r="J20" s="65">
        <f t="shared" si="2"/>
        <v>0</v>
      </c>
      <c r="K20" s="83">
        <f t="shared" si="3"/>
        <v>1.49880095923261</v>
      </c>
      <c r="L20" s="83">
        <f t="shared" si="4"/>
        <v>1.49880095923261</v>
      </c>
      <c r="M20" s="84"/>
      <c r="N20" s="85" t="s">
        <v>81</v>
      </c>
    </row>
    <row r="21" ht="74" customHeight="1" spans="1:14">
      <c r="A21" s="63" t="s">
        <v>95</v>
      </c>
      <c r="B21" s="64">
        <f t="shared" si="0"/>
        <v>0</v>
      </c>
      <c r="C21" s="67">
        <v>0</v>
      </c>
      <c r="D21" s="67"/>
      <c r="E21" s="64">
        <f t="shared" si="1"/>
        <v>0</v>
      </c>
      <c r="F21" s="67">
        <v>0</v>
      </c>
      <c r="G21" s="67"/>
      <c r="H21" s="67">
        <f t="shared" si="2"/>
        <v>0</v>
      </c>
      <c r="I21" s="67">
        <f t="shared" si="2"/>
        <v>0</v>
      </c>
      <c r="J21" s="65">
        <f t="shared" si="2"/>
        <v>0</v>
      </c>
      <c r="K21" s="83"/>
      <c r="L21" s="83"/>
      <c r="M21" s="84"/>
      <c r="N21" s="85" t="s">
        <v>81</v>
      </c>
    </row>
    <row r="22" ht="51" customHeight="1" spans="1:14">
      <c r="A22" s="63" t="s">
        <v>96</v>
      </c>
      <c r="B22" s="64">
        <f t="shared" si="0"/>
        <v>467</v>
      </c>
      <c r="C22" s="67">
        <v>467</v>
      </c>
      <c r="D22" s="67"/>
      <c r="E22" s="64">
        <f t="shared" si="1"/>
        <v>467</v>
      </c>
      <c r="F22" s="70">
        <v>467</v>
      </c>
      <c r="G22" s="67"/>
      <c r="H22" s="67">
        <f t="shared" si="2"/>
        <v>0</v>
      </c>
      <c r="I22" s="67">
        <f t="shared" si="2"/>
        <v>0</v>
      </c>
      <c r="J22" s="65">
        <f t="shared" si="2"/>
        <v>0</v>
      </c>
      <c r="K22" s="83">
        <f t="shared" si="3"/>
        <v>0</v>
      </c>
      <c r="L22" s="83">
        <f t="shared" si="4"/>
        <v>0</v>
      </c>
      <c r="M22" s="84"/>
      <c r="N22" s="85" t="s">
        <v>81</v>
      </c>
    </row>
    <row r="23" ht="43.5" customHeight="1" spans="1:14">
      <c r="A23" s="63" t="s">
        <v>97</v>
      </c>
      <c r="B23" s="64">
        <f t="shared" si="0"/>
        <v>500</v>
      </c>
      <c r="C23" s="67">
        <v>500</v>
      </c>
      <c r="D23" s="67"/>
      <c r="E23" s="64">
        <f t="shared" si="1"/>
        <v>1226</v>
      </c>
      <c r="F23" s="67">
        <v>1226</v>
      </c>
      <c r="G23" s="67"/>
      <c r="H23" s="67">
        <f t="shared" si="2"/>
        <v>726</v>
      </c>
      <c r="I23" s="67">
        <f t="shared" si="2"/>
        <v>726</v>
      </c>
      <c r="J23" s="65">
        <f t="shared" si="2"/>
        <v>0</v>
      </c>
      <c r="K23" s="83">
        <f t="shared" si="3"/>
        <v>145.2</v>
      </c>
      <c r="L23" s="83">
        <f t="shared" si="4"/>
        <v>145.2</v>
      </c>
      <c r="M23" s="84"/>
      <c r="N23" s="85" t="s">
        <v>81</v>
      </c>
    </row>
    <row r="24" ht="55.5" customHeight="1" spans="1:14">
      <c r="A24" s="63" t="s">
        <v>98</v>
      </c>
      <c r="B24" s="64">
        <f t="shared" si="0"/>
        <v>191</v>
      </c>
      <c r="C24" s="67">
        <v>191</v>
      </c>
      <c r="D24" s="67"/>
      <c r="E24" s="64">
        <f t="shared" si="1"/>
        <v>0</v>
      </c>
      <c r="F24" s="67">
        <v>0</v>
      </c>
      <c r="G24" s="67"/>
      <c r="H24" s="67">
        <f t="shared" si="2"/>
        <v>-191</v>
      </c>
      <c r="I24" s="67">
        <f t="shared" si="2"/>
        <v>-191</v>
      </c>
      <c r="J24" s="65">
        <f t="shared" si="2"/>
        <v>0</v>
      </c>
      <c r="K24" s="83">
        <f t="shared" si="3"/>
        <v>-100</v>
      </c>
      <c r="L24" s="83">
        <f t="shared" si="4"/>
        <v>-100</v>
      </c>
      <c r="M24" s="84"/>
      <c r="N24" s="85" t="s">
        <v>81</v>
      </c>
    </row>
    <row r="25" ht="28.5" customHeight="1" spans="1:14">
      <c r="A25" s="71" t="s">
        <v>99</v>
      </c>
      <c r="B25" s="64">
        <f t="shared" si="0"/>
        <v>2725</v>
      </c>
      <c r="C25" s="67">
        <v>2669</v>
      </c>
      <c r="D25" s="67">
        <v>56</v>
      </c>
      <c r="E25" s="64">
        <f t="shared" si="1"/>
        <v>2807</v>
      </c>
      <c r="F25" s="67">
        <f>F26+F27+F28+F29+F30</f>
        <v>2789</v>
      </c>
      <c r="G25" s="67">
        <v>18</v>
      </c>
      <c r="H25" s="67">
        <f t="shared" si="2"/>
        <v>82</v>
      </c>
      <c r="I25" s="67">
        <f t="shared" si="2"/>
        <v>120</v>
      </c>
      <c r="J25" s="65">
        <f t="shared" si="2"/>
        <v>-38</v>
      </c>
      <c r="K25" s="83">
        <f t="shared" si="3"/>
        <v>3.00917431192661</v>
      </c>
      <c r="L25" s="83">
        <f t="shared" si="4"/>
        <v>4.49606594230049</v>
      </c>
      <c r="M25" s="84">
        <f t="shared" si="5"/>
        <v>-67.8571428571429</v>
      </c>
      <c r="N25" s="85" t="s">
        <v>81</v>
      </c>
    </row>
    <row r="26" ht="28.5" customHeight="1" spans="1:14">
      <c r="A26" s="71" t="s">
        <v>100</v>
      </c>
      <c r="B26" s="64">
        <f t="shared" si="0"/>
        <v>1800</v>
      </c>
      <c r="C26" s="67">
        <v>1800</v>
      </c>
      <c r="D26" s="67"/>
      <c r="E26" s="64">
        <f t="shared" si="1"/>
        <v>1800</v>
      </c>
      <c r="F26" s="67">
        <v>1800</v>
      </c>
      <c r="G26" s="67"/>
      <c r="H26" s="67">
        <f t="shared" si="2"/>
        <v>0</v>
      </c>
      <c r="I26" s="67">
        <f t="shared" si="2"/>
        <v>0</v>
      </c>
      <c r="J26" s="65">
        <f t="shared" si="2"/>
        <v>0</v>
      </c>
      <c r="K26" s="83">
        <f t="shared" si="3"/>
        <v>0</v>
      </c>
      <c r="L26" s="83">
        <f t="shared" si="4"/>
        <v>0</v>
      </c>
      <c r="M26" s="84"/>
      <c r="N26" s="85" t="s">
        <v>81</v>
      </c>
    </row>
    <row r="27" ht="43.5" customHeight="1" spans="1:14">
      <c r="A27" s="71" t="s">
        <v>101</v>
      </c>
      <c r="B27" s="64">
        <f t="shared" si="0"/>
        <v>87</v>
      </c>
      <c r="C27" s="67">
        <v>87</v>
      </c>
      <c r="D27" s="67"/>
      <c r="E27" s="64">
        <f t="shared" si="1"/>
        <v>87</v>
      </c>
      <c r="F27" s="67">
        <v>87</v>
      </c>
      <c r="G27" s="67"/>
      <c r="H27" s="67">
        <f t="shared" si="2"/>
        <v>0</v>
      </c>
      <c r="I27" s="67">
        <f t="shared" si="2"/>
        <v>0</v>
      </c>
      <c r="J27" s="65">
        <f t="shared" si="2"/>
        <v>0</v>
      </c>
      <c r="K27" s="83">
        <f t="shared" si="3"/>
        <v>0</v>
      </c>
      <c r="L27" s="83">
        <f t="shared" si="4"/>
        <v>0</v>
      </c>
      <c r="M27" s="84"/>
      <c r="N27" s="85" t="s">
        <v>87</v>
      </c>
    </row>
    <row r="28" ht="28.5" customHeight="1" spans="1:14">
      <c r="A28" s="69" t="s">
        <v>102</v>
      </c>
      <c r="B28" s="64">
        <f t="shared" si="0"/>
        <v>238</v>
      </c>
      <c r="C28" s="67">
        <v>182</v>
      </c>
      <c r="D28" s="67">
        <v>56</v>
      </c>
      <c r="E28" s="64">
        <f t="shared" si="1"/>
        <v>200</v>
      </c>
      <c r="F28" s="70">
        <v>182</v>
      </c>
      <c r="G28" s="67">
        <v>18</v>
      </c>
      <c r="H28" s="67">
        <f t="shared" si="2"/>
        <v>-38</v>
      </c>
      <c r="I28" s="67">
        <f t="shared" si="2"/>
        <v>0</v>
      </c>
      <c r="J28" s="65">
        <f t="shared" si="2"/>
        <v>-38</v>
      </c>
      <c r="K28" s="83">
        <f t="shared" si="3"/>
        <v>-15.9663865546218</v>
      </c>
      <c r="L28" s="83">
        <f t="shared" si="4"/>
        <v>0</v>
      </c>
      <c r="M28" s="84">
        <f t="shared" si="5"/>
        <v>-67.8571428571429</v>
      </c>
      <c r="N28" s="85" t="s">
        <v>87</v>
      </c>
    </row>
    <row r="29" ht="28.5" customHeight="1" spans="1:14">
      <c r="A29" s="69" t="s">
        <v>103</v>
      </c>
      <c r="B29" s="64">
        <f t="shared" si="0"/>
        <v>600</v>
      </c>
      <c r="C29" s="67">
        <v>600</v>
      </c>
      <c r="D29" s="67"/>
      <c r="E29" s="64">
        <f t="shared" si="1"/>
        <v>720</v>
      </c>
      <c r="F29" s="67">
        <v>720</v>
      </c>
      <c r="G29" s="67"/>
      <c r="H29" s="67">
        <f t="shared" si="2"/>
        <v>120</v>
      </c>
      <c r="I29" s="67">
        <f t="shared" si="2"/>
        <v>120</v>
      </c>
      <c r="J29" s="65">
        <f t="shared" si="2"/>
        <v>0</v>
      </c>
      <c r="K29" s="83">
        <f t="shared" si="3"/>
        <v>20</v>
      </c>
      <c r="L29" s="83">
        <f t="shared" si="4"/>
        <v>20</v>
      </c>
      <c r="M29" s="84"/>
      <c r="N29" s="85" t="s">
        <v>87</v>
      </c>
    </row>
    <row r="30" ht="28.5" customHeight="1" spans="1:14">
      <c r="A30" s="69" t="s">
        <v>104</v>
      </c>
      <c r="B30" s="64">
        <f t="shared" si="0"/>
        <v>0</v>
      </c>
      <c r="C30" s="67"/>
      <c r="D30" s="67"/>
      <c r="E30" s="64">
        <f t="shared" si="1"/>
        <v>0</v>
      </c>
      <c r="F30" s="67"/>
      <c r="G30" s="67"/>
      <c r="H30" s="67">
        <f t="shared" si="2"/>
        <v>0</v>
      </c>
      <c r="I30" s="67">
        <f t="shared" si="2"/>
        <v>0</v>
      </c>
      <c r="J30" s="65">
        <f t="shared" si="2"/>
        <v>0</v>
      </c>
      <c r="K30" s="83"/>
      <c r="L30" s="83"/>
      <c r="M30" s="84"/>
      <c r="N30" s="85"/>
    </row>
    <row r="31" ht="28.5" customHeight="1" spans="1:14">
      <c r="A31" s="71" t="s">
        <v>105</v>
      </c>
      <c r="B31" s="64">
        <f t="shared" si="0"/>
        <v>1500</v>
      </c>
      <c r="C31" s="67">
        <v>1500</v>
      </c>
      <c r="D31" s="67"/>
      <c r="E31" s="64">
        <f t="shared" si="1"/>
        <v>1384</v>
      </c>
      <c r="F31" s="67">
        <v>1384</v>
      </c>
      <c r="G31" s="67"/>
      <c r="H31" s="67">
        <f t="shared" si="2"/>
        <v>-116</v>
      </c>
      <c r="I31" s="67">
        <f t="shared" si="2"/>
        <v>-116</v>
      </c>
      <c r="J31" s="65">
        <f t="shared" si="2"/>
        <v>0</v>
      </c>
      <c r="K31" s="83">
        <f t="shared" si="3"/>
        <v>-7.73333333333333</v>
      </c>
      <c r="L31" s="83">
        <f t="shared" si="4"/>
        <v>-7.73333333333333</v>
      </c>
      <c r="M31" s="84"/>
      <c r="N31" s="85" t="s">
        <v>87</v>
      </c>
    </row>
    <row r="32" ht="26" customHeight="1" spans="1:14">
      <c r="A32" s="63" t="s">
        <v>106</v>
      </c>
      <c r="B32" s="64">
        <f t="shared" si="0"/>
        <v>2500</v>
      </c>
      <c r="C32" s="67">
        <v>2500</v>
      </c>
      <c r="D32" s="67"/>
      <c r="E32" s="64">
        <f t="shared" si="1"/>
        <v>1135</v>
      </c>
      <c r="F32" s="70">
        <v>1135</v>
      </c>
      <c r="G32" s="67"/>
      <c r="H32" s="67">
        <f t="shared" si="2"/>
        <v>-1365</v>
      </c>
      <c r="I32" s="67">
        <f t="shared" si="2"/>
        <v>-1365</v>
      </c>
      <c r="J32" s="65">
        <f t="shared" si="2"/>
        <v>0</v>
      </c>
      <c r="K32" s="83">
        <f t="shared" si="3"/>
        <v>-54.6</v>
      </c>
      <c r="L32" s="83">
        <f t="shared" si="4"/>
        <v>-54.6</v>
      </c>
      <c r="M32" s="84"/>
      <c r="N32" s="85" t="s">
        <v>87</v>
      </c>
    </row>
    <row r="33" ht="28.5" customHeight="1" spans="1:14">
      <c r="A33" s="71" t="s">
        <v>107</v>
      </c>
      <c r="B33" s="64">
        <f t="shared" si="0"/>
        <v>10000</v>
      </c>
      <c r="C33" s="67">
        <v>10000</v>
      </c>
      <c r="D33" s="67"/>
      <c r="E33" s="64">
        <f t="shared" si="1"/>
        <v>9439</v>
      </c>
      <c r="F33" s="67">
        <v>9439</v>
      </c>
      <c r="G33" s="67"/>
      <c r="H33" s="67">
        <f t="shared" si="2"/>
        <v>-561</v>
      </c>
      <c r="I33" s="67">
        <f t="shared" si="2"/>
        <v>-561</v>
      </c>
      <c r="J33" s="65">
        <f t="shared" si="2"/>
        <v>0</v>
      </c>
      <c r="K33" s="83">
        <f t="shared" si="3"/>
        <v>-5.61</v>
      </c>
      <c r="L33" s="83">
        <f t="shared" si="4"/>
        <v>-5.61</v>
      </c>
      <c r="M33" s="84"/>
      <c r="N33" s="85" t="s">
        <v>87</v>
      </c>
    </row>
    <row r="34" ht="28.5" customHeight="1" spans="1:14">
      <c r="A34" s="71" t="s">
        <v>108</v>
      </c>
      <c r="B34" s="64">
        <f t="shared" si="0"/>
        <v>0</v>
      </c>
      <c r="C34" s="67"/>
      <c r="D34" s="67"/>
      <c r="E34" s="64">
        <f t="shared" si="1"/>
        <v>0</v>
      </c>
      <c r="F34" s="67"/>
      <c r="G34" s="67"/>
      <c r="H34" s="67">
        <f t="shared" si="2"/>
        <v>0</v>
      </c>
      <c r="I34" s="67">
        <f t="shared" si="2"/>
        <v>0</v>
      </c>
      <c r="J34" s="65">
        <f t="shared" si="2"/>
        <v>0</v>
      </c>
      <c r="K34" s="83"/>
      <c r="L34" s="83"/>
      <c r="M34" s="84"/>
      <c r="N34" s="85" t="s">
        <v>87</v>
      </c>
    </row>
    <row r="35" ht="28.5" customHeight="1" spans="1:14">
      <c r="A35" s="71" t="s">
        <v>109</v>
      </c>
      <c r="B35" s="64">
        <f t="shared" si="0"/>
        <v>3370</v>
      </c>
      <c r="C35" s="67">
        <v>3370</v>
      </c>
      <c r="D35" s="67"/>
      <c r="E35" s="64">
        <f t="shared" si="1"/>
        <v>3280</v>
      </c>
      <c r="F35" s="67">
        <f>F36+F37+F38+F39</f>
        <v>3280</v>
      </c>
      <c r="G35" s="67"/>
      <c r="H35" s="67">
        <f t="shared" si="2"/>
        <v>-90</v>
      </c>
      <c r="I35" s="67">
        <f t="shared" si="2"/>
        <v>-90</v>
      </c>
      <c r="J35" s="65">
        <f t="shared" si="2"/>
        <v>0</v>
      </c>
      <c r="K35" s="83">
        <f t="shared" si="3"/>
        <v>-2.67062314540059</v>
      </c>
      <c r="L35" s="83">
        <f t="shared" si="4"/>
        <v>-2.67062314540059</v>
      </c>
      <c r="M35" s="84"/>
      <c r="N35" s="85" t="s">
        <v>87</v>
      </c>
    </row>
    <row r="36" ht="28.5" customHeight="1" spans="1:14">
      <c r="A36" s="71" t="s">
        <v>110</v>
      </c>
      <c r="B36" s="64">
        <f t="shared" si="0"/>
        <v>2896</v>
      </c>
      <c r="C36" s="67">
        <v>2896</v>
      </c>
      <c r="D36" s="67"/>
      <c r="E36" s="64">
        <f t="shared" si="1"/>
        <v>2896</v>
      </c>
      <c r="F36" s="67">
        <v>2896</v>
      </c>
      <c r="G36" s="67"/>
      <c r="H36" s="67">
        <f t="shared" si="2"/>
        <v>0</v>
      </c>
      <c r="I36" s="67">
        <f t="shared" si="2"/>
        <v>0</v>
      </c>
      <c r="J36" s="65">
        <f t="shared" si="2"/>
        <v>0</v>
      </c>
      <c r="K36" s="83">
        <f t="shared" si="3"/>
        <v>0</v>
      </c>
      <c r="L36" s="83">
        <f t="shared" si="4"/>
        <v>0</v>
      </c>
      <c r="M36" s="84"/>
      <c r="N36" s="85" t="s">
        <v>87</v>
      </c>
    </row>
    <row r="37" ht="33" customHeight="1" spans="1:14">
      <c r="A37" s="71" t="s">
        <v>111</v>
      </c>
      <c r="B37" s="64">
        <f t="shared" si="0"/>
        <v>4</v>
      </c>
      <c r="C37" s="67">
        <v>4</v>
      </c>
      <c r="D37" s="67"/>
      <c r="E37" s="64">
        <f t="shared" si="1"/>
        <v>4</v>
      </c>
      <c r="F37" s="67">
        <v>4</v>
      </c>
      <c r="G37" s="67"/>
      <c r="H37" s="67">
        <f t="shared" si="2"/>
        <v>0</v>
      </c>
      <c r="I37" s="67">
        <f t="shared" si="2"/>
        <v>0</v>
      </c>
      <c r="J37" s="65">
        <f t="shared" si="2"/>
        <v>0</v>
      </c>
      <c r="K37" s="83">
        <f t="shared" si="3"/>
        <v>0</v>
      </c>
      <c r="L37" s="83">
        <f t="shared" si="4"/>
        <v>0</v>
      </c>
      <c r="M37" s="84"/>
      <c r="N37" s="85" t="s">
        <v>87</v>
      </c>
    </row>
    <row r="38" ht="51.75" customHeight="1" spans="1:14">
      <c r="A38" s="69" t="s">
        <v>112</v>
      </c>
      <c r="B38" s="64">
        <f t="shared" si="0"/>
        <v>380</v>
      </c>
      <c r="C38" s="67">
        <v>380</v>
      </c>
      <c r="D38" s="67"/>
      <c r="E38" s="64">
        <f t="shared" si="1"/>
        <v>380</v>
      </c>
      <c r="F38" s="67">
        <v>380</v>
      </c>
      <c r="G38" s="67"/>
      <c r="H38" s="67">
        <f t="shared" si="2"/>
        <v>0</v>
      </c>
      <c r="I38" s="67">
        <f t="shared" si="2"/>
        <v>0</v>
      </c>
      <c r="J38" s="65">
        <f t="shared" si="2"/>
        <v>0</v>
      </c>
      <c r="K38" s="83">
        <f t="shared" si="3"/>
        <v>0</v>
      </c>
      <c r="L38" s="83">
        <f t="shared" si="4"/>
        <v>0</v>
      </c>
      <c r="M38" s="84"/>
      <c r="N38" s="85" t="s">
        <v>87</v>
      </c>
    </row>
    <row r="39" ht="28.5" customHeight="1" spans="1:14">
      <c r="A39" s="69" t="s">
        <v>113</v>
      </c>
      <c r="B39" s="64">
        <f t="shared" si="0"/>
        <v>0</v>
      </c>
      <c r="C39" s="67">
        <v>0</v>
      </c>
      <c r="D39" s="67"/>
      <c r="E39" s="64">
        <f t="shared" si="1"/>
        <v>0</v>
      </c>
      <c r="F39" s="67">
        <v>0</v>
      </c>
      <c r="G39" s="67"/>
      <c r="H39" s="67">
        <f t="shared" si="2"/>
        <v>0</v>
      </c>
      <c r="I39" s="67">
        <f t="shared" si="2"/>
        <v>0</v>
      </c>
      <c r="J39" s="65">
        <f t="shared" si="2"/>
        <v>0</v>
      </c>
      <c r="K39" s="83"/>
      <c r="L39" s="83"/>
      <c r="M39" s="84"/>
      <c r="N39" s="85" t="s">
        <v>87</v>
      </c>
    </row>
    <row r="40" ht="28.5" customHeight="1" spans="1:14">
      <c r="A40" s="71" t="s">
        <v>114</v>
      </c>
      <c r="B40" s="64">
        <f t="shared" si="0"/>
        <v>326</v>
      </c>
      <c r="C40" s="67">
        <v>326</v>
      </c>
      <c r="D40" s="67"/>
      <c r="E40" s="64">
        <f t="shared" si="1"/>
        <v>288.64</v>
      </c>
      <c r="F40" s="67">
        <f>F41</f>
        <v>288.64</v>
      </c>
      <c r="G40" s="67"/>
      <c r="H40" s="67">
        <f t="shared" si="2"/>
        <v>-37.36</v>
      </c>
      <c r="I40" s="67">
        <f t="shared" si="2"/>
        <v>-37.36</v>
      </c>
      <c r="J40" s="65">
        <f t="shared" si="2"/>
        <v>0</v>
      </c>
      <c r="K40" s="83">
        <f t="shared" si="3"/>
        <v>-11.4601226993865</v>
      </c>
      <c r="L40" s="83">
        <f t="shared" si="4"/>
        <v>-11.4601226993865</v>
      </c>
      <c r="M40" s="84"/>
      <c r="N40" s="85"/>
    </row>
    <row r="41" ht="28.5" customHeight="1" spans="1:14">
      <c r="A41" s="63" t="s">
        <v>115</v>
      </c>
      <c r="B41" s="64">
        <f t="shared" si="0"/>
        <v>326</v>
      </c>
      <c r="C41" s="67">
        <v>326</v>
      </c>
      <c r="D41" s="67"/>
      <c r="E41" s="64">
        <f t="shared" si="1"/>
        <v>288.64</v>
      </c>
      <c r="F41" s="67">
        <v>288.64</v>
      </c>
      <c r="G41" s="67"/>
      <c r="H41" s="67">
        <f t="shared" si="2"/>
        <v>-37.36</v>
      </c>
      <c r="I41" s="67">
        <f t="shared" si="2"/>
        <v>-37.36</v>
      </c>
      <c r="J41" s="65">
        <f t="shared" si="2"/>
        <v>0</v>
      </c>
      <c r="K41" s="83">
        <f t="shared" si="3"/>
        <v>-11.4601226993865</v>
      </c>
      <c r="L41" s="83">
        <f t="shared" si="4"/>
        <v>-11.4601226993865</v>
      </c>
      <c r="M41" s="84"/>
      <c r="N41" s="85" t="s">
        <v>81</v>
      </c>
    </row>
    <row r="42" ht="28.5" customHeight="1" spans="1:14">
      <c r="A42" s="71" t="s">
        <v>116</v>
      </c>
      <c r="B42" s="64">
        <f t="shared" si="0"/>
        <v>1961</v>
      </c>
      <c r="C42" s="67">
        <f>SUM(C43:C59)</f>
        <v>1961</v>
      </c>
      <c r="D42" s="67">
        <f>SUM(D43:D59)</f>
        <v>0</v>
      </c>
      <c r="E42" s="67">
        <f>SUM(E43:E59)</f>
        <v>8277.17</v>
      </c>
      <c r="F42" s="67">
        <f>SUM(F43:F59)</f>
        <v>8277.17</v>
      </c>
      <c r="G42" s="67">
        <f>SUM(G43:G59)</f>
        <v>0</v>
      </c>
      <c r="H42" s="67">
        <f t="shared" si="2"/>
        <v>6316.17</v>
      </c>
      <c r="I42" s="67">
        <f t="shared" si="2"/>
        <v>6316.17</v>
      </c>
      <c r="J42" s="65">
        <f t="shared" si="2"/>
        <v>0</v>
      </c>
      <c r="K42" s="83">
        <f t="shared" si="3"/>
        <v>322.08924018358</v>
      </c>
      <c r="L42" s="83">
        <f t="shared" si="4"/>
        <v>322.08924018358</v>
      </c>
      <c r="M42" s="84"/>
      <c r="N42" s="85" t="s">
        <v>87</v>
      </c>
    </row>
    <row r="43" ht="28.5" customHeight="1" spans="1:14">
      <c r="A43" s="63" t="s">
        <v>117</v>
      </c>
      <c r="B43" s="64">
        <f t="shared" si="0"/>
        <v>173</v>
      </c>
      <c r="C43" s="67">
        <v>173</v>
      </c>
      <c r="D43" s="67"/>
      <c r="E43" s="64">
        <f t="shared" si="1"/>
        <v>584.45</v>
      </c>
      <c r="F43" s="67">
        <f>569.93+14.52</f>
        <v>584.45</v>
      </c>
      <c r="G43" s="67"/>
      <c r="H43" s="67">
        <f t="shared" si="2"/>
        <v>411.45</v>
      </c>
      <c r="I43" s="67">
        <f t="shared" si="2"/>
        <v>411.45</v>
      </c>
      <c r="J43" s="65">
        <f t="shared" si="2"/>
        <v>0</v>
      </c>
      <c r="K43" s="83">
        <f t="shared" si="3"/>
        <v>237.832369942197</v>
      </c>
      <c r="L43" s="83">
        <f t="shared" si="4"/>
        <v>237.832369942196</v>
      </c>
      <c r="M43" s="84"/>
      <c r="N43" s="85" t="s">
        <v>87</v>
      </c>
    </row>
    <row r="44" ht="28.5" customHeight="1" spans="1:14">
      <c r="A44" s="63" t="s">
        <v>118</v>
      </c>
      <c r="B44" s="64">
        <f t="shared" si="0"/>
        <v>27</v>
      </c>
      <c r="C44" s="67">
        <v>27</v>
      </c>
      <c r="D44" s="67"/>
      <c r="E44" s="64">
        <f t="shared" si="1"/>
        <v>0</v>
      </c>
      <c r="F44" s="67">
        <v>0</v>
      </c>
      <c r="G44" s="67"/>
      <c r="H44" s="67">
        <f t="shared" si="2"/>
        <v>-27</v>
      </c>
      <c r="I44" s="67">
        <f t="shared" si="2"/>
        <v>-27</v>
      </c>
      <c r="J44" s="65">
        <f t="shared" si="2"/>
        <v>0</v>
      </c>
      <c r="K44" s="83">
        <f t="shared" si="3"/>
        <v>-100</v>
      </c>
      <c r="L44" s="83">
        <f t="shared" si="4"/>
        <v>-100</v>
      </c>
      <c r="M44" s="84"/>
      <c r="N44" s="85" t="s">
        <v>81</v>
      </c>
    </row>
    <row r="45" ht="28.5" customHeight="1" spans="1:14">
      <c r="A45" s="63" t="s">
        <v>119</v>
      </c>
      <c r="B45" s="64">
        <f t="shared" si="0"/>
        <v>215</v>
      </c>
      <c r="C45" s="67">
        <v>215</v>
      </c>
      <c r="D45" s="67"/>
      <c r="E45" s="64">
        <f t="shared" si="1"/>
        <v>215</v>
      </c>
      <c r="F45" s="67">
        <v>215</v>
      </c>
      <c r="G45" s="67"/>
      <c r="H45" s="67">
        <f t="shared" si="2"/>
        <v>0</v>
      </c>
      <c r="I45" s="67">
        <f t="shared" si="2"/>
        <v>0</v>
      </c>
      <c r="J45" s="65">
        <f t="shared" si="2"/>
        <v>0</v>
      </c>
      <c r="K45" s="83">
        <f t="shared" si="3"/>
        <v>0</v>
      </c>
      <c r="L45" s="83">
        <f t="shared" si="4"/>
        <v>0</v>
      </c>
      <c r="M45" s="84"/>
      <c r="N45" s="85" t="s">
        <v>87</v>
      </c>
    </row>
    <row r="46" ht="28.5" customHeight="1" spans="1:14">
      <c r="A46" s="69" t="s">
        <v>120</v>
      </c>
      <c r="B46" s="64">
        <f t="shared" si="0"/>
        <v>546</v>
      </c>
      <c r="C46" s="67">
        <v>546</v>
      </c>
      <c r="D46" s="67"/>
      <c r="E46" s="64">
        <f t="shared" si="1"/>
        <v>697</v>
      </c>
      <c r="F46" s="67">
        <v>697</v>
      </c>
      <c r="G46" s="67"/>
      <c r="H46" s="67">
        <f t="shared" si="2"/>
        <v>151</v>
      </c>
      <c r="I46" s="67">
        <f t="shared" si="2"/>
        <v>151</v>
      </c>
      <c r="J46" s="65">
        <f t="shared" si="2"/>
        <v>0</v>
      </c>
      <c r="K46" s="83">
        <f t="shared" si="3"/>
        <v>27.6556776556777</v>
      </c>
      <c r="L46" s="83">
        <f t="shared" si="4"/>
        <v>27.6556776556777</v>
      </c>
      <c r="M46" s="84"/>
      <c r="N46" s="85" t="s">
        <v>87</v>
      </c>
    </row>
    <row r="47" ht="28.5" customHeight="1" spans="1:14">
      <c r="A47" s="69" t="s">
        <v>121</v>
      </c>
      <c r="B47" s="64">
        <f t="shared" si="0"/>
        <v>0</v>
      </c>
      <c r="C47" s="67"/>
      <c r="D47" s="67"/>
      <c r="E47" s="64">
        <f t="shared" si="1"/>
        <v>167</v>
      </c>
      <c r="F47" s="67">
        <v>167</v>
      </c>
      <c r="G47" s="67"/>
      <c r="H47" s="67">
        <f t="shared" ref="H47:J78" si="6">E47-B47</f>
        <v>167</v>
      </c>
      <c r="I47" s="67">
        <f t="shared" si="6"/>
        <v>167</v>
      </c>
      <c r="J47" s="65">
        <f t="shared" si="6"/>
        <v>0</v>
      </c>
      <c r="K47" s="83"/>
      <c r="L47" s="83"/>
      <c r="M47" s="84"/>
      <c r="N47" s="85" t="s">
        <v>87</v>
      </c>
    </row>
    <row r="48" ht="28.5" customHeight="1" spans="1:14">
      <c r="A48" s="69" t="s">
        <v>122</v>
      </c>
      <c r="B48" s="64">
        <f t="shared" si="0"/>
        <v>0</v>
      </c>
      <c r="C48" s="67"/>
      <c r="D48" s="67"/>
      <c r="E48" s="64">
        <f t="shared" si="1"/>
        <v>35.52</v>
      </c>
      <c r="F48" s="67">
        <v>35.52</v>
      </c>
      <c r="G48" s="67"/>
      <c r="H48" s="67">
        <f t="shared" si="6"/>
        <v>35.52</v>
      </c>
      <c r="I48" s="67">
        <f t="shared" si="6"/>
        <v>35.52</v>
      </c>
      <c r="J48" s="65">
        <f t="shared" si="6"/>
        <v>0</v>
      </c>
      <c r="K48" s="83"/>
      <c r="L48" s="83"/>
      <c r="M48" s="84"/>
      <c r="N48" s="85" t="s">
        <v>87</v>
      </c>
    </row>
    <row r="49" ht="55.5" customHeight="1" spans="1:14">
      <c r="A49" s="69" t="s">
        <v>123</v>
      </c>
      <c r="B49" s="64">
        <f t="shared" si="0"/>
        <v>0</v>
      </c>
      <c r="C49" s="67"/>
      <c r="D49" s="67"/>
      <c r="E49" s="64">
        <f t="shared" si="1"/>
        <v>22</v>
      </c>
      <c r="F49" s="67">
        <v>22</v>
      </c>
      <c r="G49" s="67"/>
      <c r="H49" s="67">
        <f t="shared" si="6"/>
        <v>22</v>
      </c>
      <c r="I49" s="67">
        <f t="shared" si="6"/>
        <v>22</v>
      </c>
      <c r="J49" s="65">
        <f t="shared" si="6"/>
        <v>0</v>
      </c>
      <c r="K49" s="83"/>
      <c r="L49" s="83"/>
      <c r="M49" s="84"/>
      <c r="N49" s="85" t="s">
        <v>87</v>
      </c>
    </row>
    <row r="50" ht="28.5" customHeight="1" spans="1:14">
      <c r="A50" s="69" t="s">
        <v>124</v>
      </c>
      <c r="B50" s="64">
        <f t="shared" si="0"/>
        <v>0</v>
      </c>
      <c r="C50" s="67"/>
      <c r="D50" s="67"/>
      <c r="E50" s="64">
        <f t="shared" si="1"/>
        <v>58</v>
      </c>
      <c r="F50" s="67">
        <v>58</v>
      </c>
      <c r="G50" s="67"/>
      <c r="H50" s="67">
        <f t="shared" si="6"/>
        <v>58</v>
      </c>
      <c r="I50" s="67">
        <f t="shared" si="6"/>
        <v>58</v>
      </c>
      <c r="J50" s="65">
        <f t="shared" si="6"/>
        <v>0</v>
      </c>
      <c r="K50" s="83"/>
      <c r="L50" s="83"/>
      <c r="M50" s="84"/>
      <c r="N50" s="85" t="s">
        <v>87</v>
      </c>
    </row>
    <row r="51" ht="28.5" customHeight="1" spans="1:14">
      <c r="A51" s="69" t="s">
        <v>125</v>
      </c>
      <c r="B51" s="64">
        <f t="shared" si="0"/>
        <v>0</v>
      </c>
      <c r="C51" s="67"/>
      <c r="D51" s="67"/>
      <c r="E51" s="64">
        <f t="shared" si="1"/>
        <v>7</v>
      </c>
      <c r="F51" s="67">
        <v>7</v>
      </c>
      <c r="G51" s="67"/>
      <c r="H51" s="67">
        <f t="shared" si="6"/>
        <v>7</v>
      </c>
      <c r="I51" s="67">
        <f t="shared" si="6"/>
        <v>7</v>
      </c>
      <c r="J51" s="65">
        <f t="shared" si="6"/>
        <v>0</v>
      </c>
      <c r="K51" s="83"/>
      <c r="L51" s="83"/>
      <c r="M51" s="84"/>
      <c r="N51" s="85" t="s">
        <v>87</v>
      </c>
    </row>
    <row r="52" ht="28.5" customHeight="1" spans="1:14">
      <c r="A52" s="69" t="s">
        <v>126</v>
      </c>
      <c r="B52" s="64">
        <f t="shared" si="0"/>
        <v>0</v>
      </c>
      <c r="C52" s="67"/>
      <c r="D52" s="67"/>
      <c r="E52" s="64">
        <f t="shared" si="1"/>
        <v>313.7</v>
      </c>
      <c r="F52" s="67">
        <v>313.7</v>
      </c>
      <c r="G52" s="67"/>
      <c r="H52" s="67">
        <f t="shared" si="6"/>
        <v>313.7</v>
      </c>
      <c r="I52" s="67">
        <f t="shared" si="6"/>
        <v>313.7</v>
      </c>
      <c r="J52" s="65">
        <f t="shared" si="6"/>
        <v>0</v>
      </c>
      <c r="K52" s="83"/>
      <c r="L52" s="83"/>
      <c r="M52" s="84"/>
      <c r="N52" s="85" t="s">
        <v>87</v>
      </c>
    </row>
    <row r="53" ht="28.5" customHeight="1" spans="1:14">
      <c r="A53" s="69" t="s">
        <v>127</v>
      </c>
      <c r="B53" s="64">
        <f t="shared" si="0"/>
        <v>0</v>
      </c>
      <c r="C53" s="67"/>
      <c r="D53" s="67"/>
      <c r="E53" s="64">
        <f t="shared" si="1"/>
        <v>10</v>
      </c>
      <c r="F53" s="67">
        <v>10</v>
      </c>
      <c r="G53" s="67"/>
      <c r="H53" s="67">
        <f t="shared" si="6"/>
        <v>10</v>
      </c>
      <c r="I53" s="67">
        <f t="shared" si="6"/>
        <v>10</v>
      </c>
      <c r="J53" s="65">
        <f t="shared" si="6"/>
        <v>0</v>
      </c>
      <c r="K53" s="83"/>
      <c r="L53" s="83"/>
      <c r="M53" s="84"/>
      <c r="N53" s="85" t="s">
        <v>87</v>
      </c>
    </row>
    <row r="54" ht="28.5" customHeight="1" spans="1:14">
      <c r="A54" s="69" t="s">
        <v>128</v>
      </c>
      <c r="B54" s="64">
        <f t="shared" si="0"/>
        <v>0</v>
      </c>
      <c r="C54" s="67"/>
      <c r="D54" s="67"/>
      <c r="E54" s="64">
        <f t="shared" si="1"/>
        <v>20</v>
      </c>
      <c r="F54" s="67">
        <v>20</v>
      </c>
      <c r="G54" s="67"/>
      <c r="H54" s="67">
        <f t="shared" si="6"/>
        <v>20</v>
      </c>
      <c r="I54" s="67">
        <f t="shared" si="6"/>
        <v>20</v>
      </c>
      <c r="J54" s="65">
        <f t="shared" si="6"/>
        <v>0</v>
      </c>
      <c r="K54" s="83"/>
      <c r="L54" s="83"/>
      <c r="M54" s="84"/>
      <c r="N54" s="85" t="s">
        <v>87</v>
      </c>
    </row>
    <row r="55" ht="28.5" customHeight="1" spans="1:14">
      <c r="A55" s="69" t="s">
        <v>129</v>
      </c>
      <c r="B55" s="64">
        <f t="shared" si="0"/>
        <v>0</v>
      </c>
      <c r="C55" s="67"/>
      <c r="D55" s="67"/>
      <c r="E55" s="64">
        <f t="shared" si="1"/>
        <v>24</v>
      </c>
      <c r="F55" s="67">
        <v>24</v>
      </c>
      <c r="G55" s="67"/>
      <c r="H55" s="67">
        <f t="shared" si="6"/>
        <v>24</v>
      </c>
      <c r="I55" s="67">
        <f t="shared" si="6"/>
        <v>24</v>
      </c>
      <c r="J55" s="65">
        <f t="shared" si="6"/>
        <v>0</v>
      </c>
      <c r="K55" s="83"/>
      <c r="L55" s="83"/>
      <c r="M55" s="84"/>
      <c r="N55" s="85" t="s">
        <v>87</v>
      </c>
    </row>
    <row r="56" ht="28.5" customHeight="1" spans="1:14">
      <c r="A56" s="69" t="s">
        <v>130</v>
      </c>
      <c r="B56" s="64">
        <f t="shared" si="0"/>
        <v>0</v>
      </c>
      <c r="C56" s="67"/>
      <c r="D56" s="67"/>
      <c r="E56" s="64">
        <f t="shared" si="1"/>
        <v>6106</v>
      </c>
      <c r="F56" s="67">
        <v>6106</v>
      </c>
      <c r="G56" s="67"/>
      <c r="H56" s="67">
        <f t="shared" si="6"/>
        <v>6106</v>
      </c>
      <c r="I56" s="67">
        <f t="shared" si="6"/>
        <v>6106</v>
      </c>
      <c r="J56" s="65">
        <f t="shared" si="6"/>
        <v>0</v>
      </c>
      <c r="K56" s="83"/>
      <c r="L56" s="83"/>
      <c r="M56" s="84"/>
      <c r="N56" s="85" t="s">
        <v>87</v>
      </c>
    </row>
    <row r="57" ht="28.5" customHeight="1" spans="1:14">
      <c r="A57" s="69" t="s">
        <v>131</v>
      </c>
      <c r="B57" s="64">
        <f t="shared" si="0"/>
        <v>0</v>
      </c>
      <c r="C57" s="67"/>
      <c r="D57" s="67"/>
      <c r="E57" s="64">
        <f t="shared" si="1"/>
        <v>2.5</v>
      </c>
      <c r="F57" s="67">
        <v>2.5</v>
      </c>
      <c r="G57" s="67"/>
      <c r="H57" s="67">
        <f t="shared" si="6"/>
        <v>2.5</v>
      </c>
      <c r="I57" s="67">
        <f t="shared" si="6"/>
        <v>2.5</v>
      </c>
      <c r="J57" s="65">
        <f t="shared" si="6"/>
        <v>0</v>
      </c>
      <c r="K57" s="83"/>
      <c r="L57" s="83"/>
      <c r="M57" s="84"/>
      <c r="N57" s="85" t="s">
        <v>87</v>
      </c>
    </row>
    <row r="58" ht="28.5" customHeight="1" spans="1:14">
      <c r="A58" s="69" t="s">
        <v>132</v>
      </c>
      <c r="B58" s="64">
        <f t="shared" si="0"/>
        <v>0</v>
      </c>
      <c r="C58" s="67"/>
      <c r="D58" s="67"/>
      <c r="E58" s="64">
        <f t="shared" si="1"/>
        <v>15</v>
      </c>
      <c r="F58" s="67">
        <v>15</v>
      </c>
      <c r="G58" s="67"/>
      <c r="H58" s="67">
        <f t="shared" si="6"/>
        <v>15</v>
      </c>
      <c r="I58" s="67">
        <f t="shared" si="6"/>
        <v>15</v>
      </c>
      <c r="J58" s="65">
        <f t="shared" si="6"/>
        <v>0</v>
      </c>
      <c r="K58" s="83"/>
      <c r="L58" s="83"/>
      <c r="M58" s="84"/>
      <c r="N58" s="85" t="s">
        <v>87</v>
      </c>
    </row>
    <row r="59" ht="28.5" customHeight="1" spans="1:14">
      <c r="A59" s="69" t="s">
        <v>133</v>
      </c>
      <c r="B59" s="64">
        <f t="shared" si="0"/>
        <v>1000</v>
      </c>
      <c r="C59" s="67">
        <v>1000</v>
      </c>
      <c r="D59" s="67"/>
      <c r="E59" s="64">
        <f t="shared" si="1"/>
        <v>0</v>
      </c>
      <c r="F59" s="70">
        <v>0</v>
      </c>
      <c r="G59" s="67"/>
      <c r="H59" s="67">
        <f t="shared" si="6"/>
        <v>-1000</v>
      </c>
      <c r="I59" s="67">
        <f t="shared" si="6"/>
        <v>-1000</v>
      </c>
      <c r="J59" s="65">
        <f t="shared" si="6"/>
        <v>0</v>
      </c>
      <c r="K59" s="83">
        <f t="shared" si="3"/>
        <v>-100</v>
      </c>
      <c r="L59" s="83">
        <f t="shared" si="4"/>
        <v>-100</v>
      </c>
      <c r="M59" s="84"/>
      <c r="N59" s="85" t="s">
        <v>87</v>
      </c>
    </row>
    <row r="60" ht="28.5" customHeight="1" spans="1:14">
      <c r="A60" s="63" t="s">
        <v>134</v>
      </c>
      <c r="B60" s="64">
        <f t="shared" si="0"/>
        <v>18817</v>
      </c>
      <c r="C60" s="67">
        <f>C61+C62</f>
        <v>18817</v>
      </c>
      <c r="D60" s="67"/>
      <c r="E60" s="64">
        <f t="shared" si="1"/>
        <v>16903</v>
      </c>
      <c r="F60" s="67">
        <f>F61+F62</f>
        <v>16903</v>
      </c>
      <c r="G60" s="67"/>
      <c r="H60" s="67">
        <f t="shared" si="6"/>
        <v>-1914</v>
      </c>
      <c r="I60" s="67">
        <f t="shared" si="6"/>
        <v>-1914</v>
      </c>
      <c r="J60" s="65">
        <f t="shared" si="6"/>
        <v>0</v>
      </c>
      <c r="K60" s="83">
        <f t="shared" si="3"/>
        <v>-10.1716532922357</v>
      </c>
      <c r="L60" s="83">
        <f t="shared" si="4"/>
        <v>-10.1716532922357</v>
      </c>
      <c r="M60" s="84"/>
      <c r="N60" s="85"/>
    </row>
    <row r="61" ht="28.5" customHeight="1" spans="1:14">
      <c r="A61" s="63" t="s">
        <v>135</v>
      </c>
      <c r="B61" s="64">
        <f t="shared" si="0"/>
        <v>1325</v>
      </c>
      <c r="C61" s="67">
        <v>1325</v>
      </c>
      <c r="D61" s="67"/>
      <c r="E61" s="64" t="s">
        <v>136</v>
      </c>
      <c r="F61" s="67">
        <v>6000</v>
      </c>
      <c r="G61" s="67"/>
      <c r="H61" s="67"/>
      <c r="I61" s="67">
        <f t="shared" si="6"/>
        <v>4675</v>
      </c>
      <c r="J61" s="65">
        <f t="shared" si="6"/>
        <v>0</v>
      </c>
      <c r="K61" s="83"/>
      <c r="L61" s="83">
        <f t="shared" si="4"/>
        <v>352.830188679245</v>
      </c>
      <c r="M61" s="84"/>
      <c r="N61" s="85"/>
    </row>
    <row r="62" ht="28.5" customHeight="1" spans="1:14">
      <c r="A62" s="63" t="s">
        <v>137</v>
      </c>
      <c r="B62" s="64">
        <f t="shared" si="0"/>
        <v>17492</v>
      </c>
      <c r="C62" s="67">
        <f>SUM(C63:C74)</f>
        <v>17492</v>
      </c>
      <c r="D62" s="67"/>
      <c r="E62" s="64">
        <f t="shared" ref="E62:E77" si="7">F62+G62</f>
        <v>10903</v>
      </c>
      <c r="F62" s="67">
        <f>SUM(F63:F74)</f>
        <v>10903</v>
      </c>
      <c r="G62" s="67"/>
      <c r="H62" s="67">
        <f t="shared" si="6"/>
        <v>-6589</v>
      </c>
      <c r="I62" s="67">
        <f t="shared" si="6"/>
        <v>-6589</v>
      </c>
      <c r="J62" s="65">
        <f t="shared" si="6"/>
        <v>0</v>
      </c>
      <c r="K62" s="83">
        <f t="shared" si="3"/>
        <v>-37.66864852504</v>
      </c>
      <c r="L62" s="83">
        <f t="shared" si="4"/>
        <v>-37.66864852504</v>
      </c>
      <c r="M62" s="84"/>
      <c r="N62" s="85"/>
    </row>
    <row r="63" ht="28.5" customHeight="1" spans="1:14">
      <c r="A63" s="63" t="s">
        <v>138</v>
      </c>
      <c r="B63" s="64">
        <f t="shared" si="0"/>
        <v>890</v>
      </c>
      <c r="C63" s="67">
        <v>890</v>
      </c>
      <c r="D63" s="67"/>
      <c r="E63" s="64">
        <f t="shared" si="7"/>
        <v>890</v>
      </c>
      <c r="F63" s="67">
        <v>890</v>
      </c>
      <c r="G63" s="67"/>
      <c r="H63" s="67">
        <f t="shared" si="6"/>
        <v>0</v>
      </c>
      <c r="I63" s="67">
        <f t="shared" si="6"/>
        <v>0</v>
      </c>
      <c r="J63" s="65">
        <f t="shared" si="6"/>
        <v>0</v>
      </c>
      <c r="K63" s="83">
        <f t="shared" si="3"/>
        <v>0</v>
      </c>
      <c r="L63" s="83">
        <f t="shared" si="4"/>
        <v>0</v>
      </c>
      <c r="M63" s="84"/>
      <c r="N63" s="85"/>
    </row>
    <row r="64" ht="28.5" customHeight="1" spans="1:14">
      <c r="A64" s="63" t="s">
        <v>139</v>
      </c>
      <c r="B64" s="64">
        <f t="shared" si="0"/>
        <v>1000</v>
      </c>
      <c r="C64" s="67">
        <v>1000</v>
      </c>
      <c r="D64" s="67"/>
      <c r="E64" s="64">
        <f t="shared" si="7"/>
        <v>0</v>
      </c>
      <c r="F64" s="67">
        <v>0</v>
      </c>
      <c r="G64" s="67"/>
      <c r="H64" s="67">
        <f t="shared" si="6"/>
        <v>-1000</v>
      </c>
      <c r="I64" s="67">
        <f t="shared" si="6"/>
        <v>-1000</v>
      </c>
      <c r="J64" s="65">
        <f t="shared" si="6"/>
        <v>0</v>
      </c>
      <c r="K64" s="83">
        <f t="shared" si="3"/>
        <v>-100</v>
      </c>
      <c r="L64" s="83">
        <f t="shared" si="4"/>
        <v>-100</v>
      </c>
      <c r="M64" s="84"/>
      <c r="N64" s="85"/>
    </row>
    <row r="65" ht="42.75" customHeight="1" spans="1:14">
      <c r="A65" s="63" t="s">
        <v>140</v>
      </c>
      <c r="B65" s="64">
        <f t="shared" si="0"/>
        <v>3500</v>
      </c>
      <c r="C65" s="67">
        <v>3500</v>
      </c>
      <c r="D65" s="67"/>
      <c r="E65" s="64">
        <f t="shared" si="7"/>
        <v>3467</v>
      </c>
      <c r="F65" s="67">
        <v>3467</v>
      </c>
      <c r="G65" s="67"/>
      <c r="H65" s="67">
        <f t="shared" si="6"/>
        <v>-33</v>
      </c>
      <c r="I65" s="67">
        <f t="shared" si="6"/>
        <v>-33</v>
      </c>
      <c r="J65" s="65">
        <f t="shared" si="6"/>
        <v>0</v>
      </c>
      <c r="K65" s="83">
        <f t="shared" si="3"/>
        <v>-0.942857142857143</v>
      </c>
      <c r="L65" s="83">
        <f t="shared" si="4"/>
        <v>-0.942857142857143</v>
      </c>
      <c r="M65" s="84"/>
      <c r="N65" s="85"/>
    </row>
    <row r="66" ht="42.75" customHeight="1" spans="1:14">
      <c r="A66" s="86" t="s">
        <v>141</v>
      </c>
      <c r="B66" s="64">
        <f t="shared" si="0"/>
        <v>30</v>
      </c>
      <c r="C66" s="67">
        <v>30</v>
      </c>
      <c r="D66" s="67"/>
      <c r="E66" s="64">
        <f t="shared" si="7"/>
        <v>30</v>
      </c>
      <c r="F66" s="67">
        <v>30</v>
      </c>
      <c r="G66" s="67"/>
      <c r="H66" s="67">
        <f t="shared" si="6"/>
        <v>0</v>
      </c>
      <c r="I66" s="67">
        <f t="shared" si="6"/>
        <v>0</v>
      </c>
      <c r="J66" s="65">
        <f t="shared" si="6"/>
        <v>0</v>
      </c>
      <c r="K66" s="83">
        <f t="shared" si="3"/>
        <v>0</v>
      </c>
      <c r="L66" s="83">
        <f t="shared" si="4"/>
        <v>0</v>
      </c>
      <c r="M66" s="84"/>
      <c r="N66" s="85"/>
    </row>
    <row r="67" ht="42.75" customHeight="1" spans="1:14">
      <c r="A67" s="86" t="s">
        <v>142</v>
      </c>
      <c r="B67" s="64">
        <f t="shared" si="0"/>
        <v>3000</v>
      </c>
      <c r="C67" s="67">
        <v>3000</v>
      </c>
      <c r="D67" s="67"/>
      <c r="E67" s="64">
        <f t="shared" si="7"/>
        <v>1623</v>
      </c>
      <c r="F67" s="67">
        <v>1623</v>
      </c>
      <c r="G67" s="67"/>
      <c r="H67" s="67">
        <f t="shared" si="6"/>
        <v>-1377</v>
      </c>
      <c r="I67" s="67">
        <f t="shared" si="6"/>
        <v>-1377</v>
      </c>
      <c r="J67" s="65">
        <f t="shared" si="6"/>
        <v>0</v>
      </c>
      <c r="K67" s="83">
        <f t="shared" si="3"/>
        <v>-45.9</v>
      </c>
      <c r="L67" s="83">
        <f t="shared" si="4"/>
        <v>-45.9</v>
      </c>
      <c r="M67" s="84"/>
      <c r="N67" s="85"/>
    </row>
    <row r="68" ht="42.75" customHeight="1" spans="1:14">
      <c r="A68" s="86" t="s">
        <v>143</v>
      </c>
      <c r="B68" s="64">
        <f t="shared" si="0"/>
        <v>372</v>
      </c>
      <c r="C68" s="67">
        <v>372</v>
      </c>
      <c r="D68" s="67"/>
      <c r="E68" s="64">
        <f t="shared" si="7"/>
        <v>422</v>
      </c>
      <c r="F68" s="67">
        <v>422</v>
      </c>
      <c r="G68" s="67"/>
      <c r="H68" s="67">
        <f t="shared" si="6"/>
        <v>50</v>
      </c>
      <c r="I68" s="67">
        <f t="shared" si="6"/>
        <v>50</v>
      </c>
      <c r="J68" s="65">
        <f t="shared" si="6"/>
        <v>0</v>
      </c>
      <c r="K68" s="83">
        <f t="shared" si="3"/>
        <v>13.4408602150538</v>
      </c>
      <c r="L68" s="83">
        <f t="shared" si="4"/>
        <v>13.4408602150538</v>
      </c>
      <c r="M68" s="84"/>
      <c r="N68" s="85"/>
    </row>
    <row r="69" ht="42.75" customHeight="1" spans="1:14">
      <c r="A69" s="86" t="s">
        <v>144</v>
      </c>
      <c r="B69" s="64">
        <f t="shared" si="0"/>
        <v>1500</v>
      </c>
      <c r="C69" s="67">
        <v>1500</v>
      </c>
      <c r="D69" s="67"/>
      <c r="E69" s="64">
        <f t="shared" si="7"/>
        <v>1500</v>
      </c>
      <c r="F69" s="67">
        <v>1500</v>
      </c>
      <c r="G69" s="67"/>
      <c r="H69" s="67">
        <f t="shared" si="6"/>
        <v>0</v>
      </c>
      <c r="I69" s="67">
        <f t="shared" si="6"/>
        <v>0</v>
      </c>
      <c r="J69" s="65">
        <f t="shared" si="6"/>
        <v>0</v>
      </c>
      <c r="K69" s="83">
        <f t="shared" si="3"/>
        <v>0</v>
      </c>
      <c r="L69" s="83">
        <f t="shared" si="4"/>
        <v>0</v>
      </c>
      <c r="M69" s="84"/>
      <c r="N69" s="85"/>
    </row>
    <row r="70" ht="44.25" customHeight="1" spans="1:14">
      <c r="A70" s="86" t="s">
        <v>145</v>
      </c>
      <c r="B70" s="64">
        <f t="shared" ref="B70:B77" si="8">C70+D70</f>
        <v>1000</v>
      </c>
      <c r="C70" s="67">
        <v>1000</v>
      </c>
      <c r="D70" s="67"/>
      <c r="E70" s="64">
        <f t="shared" si="7"/>
        <v>1122</v>
      </c>
      <c r="F70" s="67">
        <v>1122</v>
      </c>
      <c r="G70" s="67"/>
      <c r="H70" s="67">
        <f t="shared" si="6"/>
        <v>122</v>
      </c>
      <c r="I70" s="67">
        <f t="shared" si="6"/>
        <v>122</v>
      </c>
      <c r="J70" s="65">
        <f t="shared" si="6"/>
        <v>0</v>
      </c>
      <c r="K70" s="83">
        <f t="shared" ref="K70:K78" si="9">H70/B70*100</f>
        <v>12.2</v>
      </c>
      <c r="L70" s="83">
        <f t="shared" ref="L70:L78" si="10">I70/C70*100</f>
        <v>12.2</v>
      </c>
      <c r="M70" s="84"/>
      <c r="N70" s="85"/>
    </row>
    <row r="71" ht="49.5" customHeight="1" spans="1:14">
      <c r="A71" s="63" t="s">
        <v>146</v>
      </c>
      <c r="B71" s="64">
        <f t="shared" si="8"/>
        <v>1200</v>
      </c>
      <c r="C71" s="67">
        <v>1200</v>
      </c>
      <c r="D71" s="67"/>
      <c r="E71" s="64">
        <f t="shared" si="7"/>
        <v>1200</v>
      </c>
      <c r="F71" s="67">
        <v>1200</v>
      </c>
      <c r="G71" s="67"/>
      <c r="H71" s="67">
        <f t="shared" si="6"/>
        <v>0</v>
      </c>
      <c r="I71" s="67">
        <f t="shared" si="6"/>
        <v>0</v>
      </c>
      <c r="J71" s="65">
        <f t="shared" si="6"/>
        <v>0</v>
      </c>
      <c r="K71" s="83">
        <f t="shared" si="9"/>
        <v>0</v>
      </c>
      <c r="L71" s="83">
        <f t="shared" si="10"/>
        <v>0</v>
      </c>
      <c r="M71" s="84"/>
      <c r="N71" s="85"/>
    </row>
    <row r="72" ht="59.25" customHeight="1" spans="1:14">
      <c r="A72" s="63" t="s">
        <v>147</v>
      </c>
      <c r="B72" s="64">
        <f t="shared" si="8"/>
        <v>5000</v>
      </c>
      <c r="C72" s="67">
        <v>5000</v>
      </c>
      <c r="D72" s="67"/>
      <c r="E72" s="64">
        <f t="shared" si="7"/>
        <v>15</v>
      </c>
      <c r="F72" s="67">
        <v>15</v>
      </c>
      <c r="G72" s="67"/>
      <c r="H72" s="67">
        <f t="shared" si="6"/>
        <v>-4985</v>
      </c>
      <c r="I72" s="67">
        <f t="shared" si="6"/>
        <v>-4985</v>
      </c>
      <c r="J72" s="65">
        <f t="shared" si="6"/>
        <v>0</v>
      </c>
      <c r="K72" s="83">
        <f t="shared" si="9"/>
        <v>-99.7</v>
      </c>
      <c r="L72" s="83">
        <f t="shared" si="10"/>
        <v>-99.7</v>
      </c>
      <c r="M72" s="84"/>
      <c r="N72" s="85"/>
    </row>
    <row r="73" ht="45" customHeight="1" spans="1:14">
      <c r="A73" s="63" t="s">
        <v>148</v>
      </c>
      <c r="B73" s="64">
        <f t="shared" si="8"/>
        <v>0</v>
      </c>
      <c r="C73" s="67">
        <v>0</v>
      </c>
      <c r="D73" s="67"/>
      <c r="E73" s="64">
        <f t="shared" si="7"/>
        <v>0</v>
      </c>
      <c r="F73" s="67">
        <v>0</v>
      </c>
      <c r="G73" s="67"/>
      <c r="H73" s="67">
        <f t="shared" si="6"/>
        <v>0</v>
      </c>
      <c r="I73" s="67">
        <f t="shared" si="6"/>
        <v>0</v>
      </c>
      <c r="J73" s="65">
        <f t="shared" si="6"/>
        <v>0</v>
      </c>
      <c r="K73" s="83"/>
      <c r="L73" s="83"/>
      <c r="M73" s="84"/>
      <c r="N73" s="85"/>
    </row>
    <row r="74" ht="45" customHeight="1" spans="1:14">
      <c r="A74" s="63" t="s">
        <v>149</v>
      </c>
      <c r="B74" s="64">
        <f t="shared" si="8"/>
        <v>0</v>
      </c>
      <c r="C74" s="67"/>
      <c r="D74" s="67"/>
      <c r="E74" s="64">
        <f t="shared" si="7"/>
        <v>634</v>
      </c>
      <c r="F74" s="67">
        <v>634</v>
      </c>
      <c r="G74" s="67"/>
      <c r="H74" s="67">
        <f t="shared" si="6"/>
        <v>634</v>
      </c>
      <c r="I74" s="67">
        <f t="shared" si="6"/>
        <v>634</v>
      </c>
      <c r="J74" s="65">
        <f t="shared" si="6"/>
        <v>0</v>
      </c>
      <c r="K74" s="83"/>
      <c r="L74" s="83"/>
      <c r="M74" s="84"/>
      <c r="N74" s="85"/>
    </row>
    <row r="75" ht="28.5" customHeight="1" spans="1:14">
      <c r="A75" s="63" t="s">
        <v>150</v>
      </c>
      <c r="B75" s="64">
        <f t="shared" si="8"/>
        <v>0</v>
      </c>
      <c r="C75" s="67">
        <v>0</v>
      </c>
      <c r="D75" s="67"/>
      <c r="E75" s="64">
        <f t="shared" si="7"/>
        <v>100000</v>
      </c>
      <c r="F75" s="67">
        <v>100000</v>
      </c>
      <c r="G75" s="67"/>
      <c r="H75" s="67">
        <f t="shared" si="6"/>
        <v>100000</v>
      </c>
      <c r="I75" s="67">
        <f t="shared" si="6"/>
        <v>100000</v>
      </c>
      <c r="J75" s="65">
        <f t="shared" si="6"/>
        <v>0</v>
      </c>
      <c r="K75" s="83"/>
      <c r="L75" s="83"/>
      <c r="M75" s="84"/>
      <c r="N75" s="85"/>
    </row>
    <row r="76" ht="28.5" customHeight="1" spans="1:14">
      <c r="A76" s="63" t="s">
        <v>151</v>
      </c>
      <c r="B76" s="64">
        <f t="shared" si="8"/>
        <v>8000</v>
      </c>
      <c r="C76" s="67"/>
      <c r="D76" s="67">
        <v>8000</v>
      </c>
      <c r="E76" s="64">
        <f t="shared" si="7"/>
        <v>60764</v>
      </c>
      <c r="F76" s="70">
        <v>52764</v>
      </c>
      <c r="G76" s="67">
        <v>8000</v>
      </c>
      <c r="H76" s="67">
        <f t="shared" si="6"/>
        <v>52764</v>
      </c>
      <c r="I76" s="67">
        <f t="shared" si="6"/>
        <v>52764</v>
      </c>
      <c r="J76" s="65">
        <f t="shared" si="6"/>
        <v>0</v>
      </c>
      <c r="K76" s="83">
        <f t="shared" si="9"/>
        <v>659.55</v>
      </c>
      <c r="L76" s="83"/>
      <c r="M76" s="84">
        <f t="shared" ref="M76:M78" si="11">J76/D76*100</f>
        <v>0</v>
      </c>
      <c r="N76" s="85"/>
    </row>
    <row r="77" ht="28.5" customHeight="1" spans="1:14">
      <c r="A77" s="63" t="s">
        <v>152</v>
      </c>
      <c r="B77" s="64">
        <f t="shared" si="8"/>
        <v>150000</v>
      </c>
      <c r="C77" s="67">
        <v>150000</v>
      </c>
      <c r="D77" s="67"/>
      <c r="E77" s="64">
        <f t="shared" si="7"/>
        <v>41328</v>
      </c>
      <c r="F77" s="70">
        <v>41328</v>
      </c>
      <c r="G77" s="67"/>
      <c r="H77" s="67">
        <f t="shared" si="6"/>
        <v>-108672</v>
      </c>
      <c r="I77" s="67">
        <f t="shared" si="6"/>
        <v>-108672</v>
      </c>
      <c r="J77" s="65">
        <f t="shared" si="6"/>
        <v>0</v>
      </c>
      <c r="K77" s="83">
        <f t="shared" si="9"/>
        <v>-72.448</v>
      </c>
      <c r="L77" s="83">
        <f t="shared" si="10"/>
        <v>-72.448</v>
      </c>
      <c r="M77" s="84"/>
      <c r="N77" s="85"/>
    </row>
    <row r="78" ht="28.5" customHeight="1" spans="1:14">
      <c r="A78" s="63" t="s">
        <v>153</v>
      </c>
      <c r="B78" s="67">
        <f t="shared" ref="B78:G78" si="12">B5+B6-B60+B75+B77+B76</f>
        <v>1035514.96</v>
      </c>
      <c r="C78" s="67">
        <f t="shared" si="12"/>
        <v>861414</v>
      </c>
      <c r="D78" s="67">
        <f t="shared" si="12"/>
        <v>174100.96</v>
      </c>
      <c r="E78" s="67">
        <f t="shared" si="12"/>
        <v>980410.81</v>
      </c>
      <c r="F78" s="67">
        <f t="shared" si="12"/>
        <v>804681.81</v>
      </c>
      <c r="G78" s="67">
        <f t="shared" si="12"/>
        <v>175729</v>
      </c>
      <c r="H78" s="67">
        <f t="shared" si="6"/>
        <v>-55104.1499999999</v>
      </c>
      <c r="I78" s="67">
        <f t="shared" si="6"/>
        <v>-56732.1899999999</v>
      </c>
      <c r="J78" s="66">
        <f t="shared" si="6"/>
        <v>1628.04000000001</v>
      </c>
      <c r="K78" s="83">
        <f t="shared" si="9"/>
        <v>-5.3214248107048</v>
      </c>
      <c r="L78" s="83">
        <f t="shared" si="10"/>
        <v>-6.58593777208171</v>
      </c>
      <c r="M78" s="84">
        <f t="shared" si="11"/>
        <v>0.935112592141944</v>
      </c>
      <c r="N78" s="85"/>
    </row>
  </sheetData>
  <autoFilter ref="A4:S78">
    <extLst/>
  </autoFilter>
  <mergeCells count="9">
    <mergeCell ref="A1:N1"/>
    <mergeCell ref="A2:I2"/>
    <mergeCell ref="M2:N2"/>
    <mergeCell ref="B3:D3"/>
    <mergeCell ref="E3:G3"/>
    <mergeCell ref="H3:J3"/>
    <mergeCell ref="K3:M3"/>
    <mergeCell ref="A3:A4"/>
    <mergeCell ref="N3:N4"/>
  </mergeCells>
  <pageMargins left="0.393055555555556" right="0.314583333333333" top="0.156944444444444" bottom="0.156944444444444" header="0.118055555555556" footer="0.118055555555556"/>
  <pageSetup paperSize="9" firstPageNumber="7" orientation="landscape" useFirstPageNumber="1" horizontalDpi="600"/>
  <headerFooter>
    <oddFooter>&amp;C&amp;P</oddFooter>
    <firstFooter>&amp;L日&amp;C&amp;P</firstFooter>
  </headerFooter>
  <rowBreaks count="8" manualBreakCount="8">
    <brk id="30" max="16383" man="1"/>
    <brk id="45" max="16383" man="1"/>
    <brk id="58" max="16383" man="1"/>
    <brk id="70" max="16383" man="1"/>
    <brk id="78" max="16383" man="1"/>
    <brk id="78" max="16383" man="1"/>
    <brk id="78" max="16383" man="1"/>
    <brk id="7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8"/>
  <sheetViews>
    <sheetView workbookViewId="0">
      <selection activeCell="E28" sqref="E28"/>
    </sheetView>
  </sheetViews>
  <sheetFormatPr defaultColWidth="9" defaultRowHeight="13.5"/>
  <cols>
    <col min="1" max="1" width="7.5" customWidth="1"/>
    <col min="2" max="2" width="15.875" customWidth="1"/>
    <col min="3" max="3" width="8" customWidth="1"/>
    <col min="4" max="4" width="8.375" customWidth="1"/>
    <col min="5" max="5" width="7.5" style="1" customWidth="1"/>
    <col min="6" max="7" width="7" customWidth="1"/>
    <col min="8" max="8" width="5.25" customWidth="1"/>
    <col min="9" max="9" width="6.875" customWidth="1"/>
    <col min="10" max="10" width="6.75" customWidth="1"/>
    <col min="11" max="11" width="5.875" customWidth="1"/>
    <col min="12" max="12" width="8.625" style="42" customWidth="1"/>
    <col min="13" max="13" width="8.25" style="42" customWidth="1"/>
    <col min="14" max="14" width="5.75" customWidth="1"/>
    <col min="15" max="16" width="6.75" customWidth="1"/>
    <col min="17" max="17" width="6.25" customWidth="1"/>
    <col min="18" max="18" width="7" customWidth="1"/>
    <col min="19" max="19" width="6.5" customWidth="1"/>
    <col min="20" max="20" width="5.375" customWidth="1"/>
    <col min="21" max="21" width="8" customWidth="1"/>
    <col min="22" max="22" width="8.125" customWidth="1"/>
    <col min="23" max="23" width="5.625" customWidth="1"/>
    <col min="24" max="24" width="6.625" customWidth="1"/>
    <col min="25" max="25" width="5.125" customWidth="1"/>
    <col min="26" max="26" width="5.75" customWidth="1"/>
    <col min="27" max="27" width="7.5" customWidth="1"/>
    <col min="28" max="28" width="7.625" style="2" customWidth="1"/>
    <col min="29" max="29" width="7.5" customWidth="1"/>
    <col min="30" max="30" width="8.75" style="43" customWidth="1"/>
    <col min="31" max="31" width="0.125" customWidth="1"/>
    <col min="32" max="33" width="9" hidden="1" customWidth="1"/>
    <col min="34" max="34" width="8" style="5" customWidth="1"/>
    <col min="35" max="35" width="8.375" style="6" customWidth="1"/>
  </cols>
  <sheetData>
    <row r="1" ht="27" spans="1:35">
      <c r="A1" s="7" t="s">
        <v>154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ht="18.75" spans="1:35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8"/>
      <c r="AA2" s="28"/>
      <c r="AB2" s="28"/>
      <c r="AC2" s="28"/>
      <c r="AD2" s="49"/>
      <c r="AE2" s="28"/>
      <c r="AF2" s="28"/>
      <c r="AG2" s="28"/>
      <c r="AH2" s="51" t="s">
        <v>3</v>
      </c>
      <c r="AI2" s="51"/>
    </row>
    <row r="3" ht="48" customHeight="1" spans="1:35">
      <c r="A3" s="10" t="s">
        <v>155</v>
      </c>
      <c r="B3" s="10" t="s">
        <v>156</v>
      </c>
      <c r="C3" s="10" t="s">
        <v>157</v>
      </c>
      <c r="D3" s="11" t="s">
        <v>158</v>
      </c>
      <c r="E3" s="11"/>
      <c r="F3" s="10" t="s">
        <v>159</v>
      </c>
      <c r="G3" s="11" t="s">
        <v>158</v>
      </c>
      <c r="H3" s="11"/>
      <c r="I3" s="10" t="s">
        <v>160</v>
      </c>
      <c r="J3" s="11" t="s">
        <v>158</v>
      </c>
      <c r="K3" s="11"/>
      <c r="L3" s="10" t="s">
        <v>161</v>
      </c>
      <c r="M3" s="11" t="s">
        <v>158</v>
      </c>
      <c r="N3" s="11"/>
      <c r="O3" s="10" t="s">
        <v>162</v>
      </c>
      <c r="P3" s="11" t="s">
        <v>158</v>
      </c>
      <c r="Q3" s="11"/>
      <c r="R3" s="10" t="s">
        <v>163</v>
      </c>
      <c r="S3" s="11" t="s">
        <v>158</v>
      </c>
      <c r="T3" s="11"/>
      <c r="U3" s="10" t="s">
        <v>164</v>
      </c>
      <c r="V3" s="11" t="s">
        <v>158</v>
      </c>
      <c r="W3" s="11"/>
      <c r="X3" s="10" t="s">
        <v>165</v>
      </c>
      <c r="Y3" s="11" t="s">
        <v>158</v>
      </c>
      <c r="Z3" s="11"/>
      <c r="AA3" s="10" t="s">
        <v>166</v>
      </c>
      <c r="AB3" s="11" t="s">
        <v>158</v>
      </c>
      <c r="AC3" s="11"/>
      <c r="AD3" s="32" t="s">
        <v>167</v>
      </c>
      <c r="AE3" s="33" t="s">
        <v>168</v>
      </c>
      <c r="AF3" s="34" t="s">
        <v>169</v>
      </c>
      <c r="AG3" s="35" t="s">
        <v>170</v>
      </c>
      <c r="AH3" s="36" t="s">
        <v>158</v>
      </c>
      <c r="AI3" s="36"/>
    </row>
    <row r="4" ht="48" customHeight="1" spans="1:35">
      <c r="A4" s="10"/>
      <c r="B4" s="10"/>
      <c r="C4" s="10"/>
      <c r="D4" s="12" t="s">
        <v>13</v>
      </c>
      <c r="E4" s="13" t="s">
        <v>14</v>
      </c>
      <c r="F4" s="10"/>
      <c r="G4" s="12" t="s">
        <v>13</v>
      </c>
      <c r="H4" s="12" t="s">
        <v>14</v>
      </c>
      <c r="I4" s="10"/>
      <c r="J4" s="12" t="s">
        <v>13</v>
      </c>
      <c r="K4" s="12" t="s">
        <v>14</v>
      </c>
      <c r="L4" s="10"/>
      <c r="M4" s="12" t="s">
        <v>13</v>
      </c>
      <c r="N4" s="12" t="s">
        <v>14</v>
      </c>
      <c r="O4" s="10"/>
      <c r="P4" s="12" t="s">
        <v>13</v>
      </c>
      <c r="Q4" s="12" t="s">
        <v>14</v>
      </c>
      <c r="R4" s="10"/>
      <c r="S4" s="12" t="s">
        <v>13</v>
      </c>
      <c r="T4" s="12" t="s">
        <v>14</v>
      </c>
      <c r="U4" s="10"/>
      <c r="V4" s="12" t="s">
        <v>13</v>
      </c>
      <c r="W4" s="12" t="s">
        <v>14</v>
      </c>
      <c r="X4" s="10"/>
      <c r="Y4" s="12" t="s">
        <v>13</v>
      </c>
      <c r="Z4" s="12" t="s">
        <v>14</v>
      </c>
      <c r="AA4" s="10"/>
      <c r="AB4" s="12" t="s">
        <v>13</v>
      </c>
      <c r="AC4" s="12" t="s">
        <v>14</v>
      </c>
      <c r="AD4" s="32"/>
      <c r="AE4" s="33"/>
      <c r="AF4" s="35"/>
      <c r="AG4" s="35"/>
      <c r="AH4" s="37" t="s">
        <v>13</v>
      </c>
      <c r="AI4" s="38" t="s">
        <v>14</v>
      </c>
    </row>
    <row r="5" ht="36.75" customHeight="1" spans="1:35">
      <c r="A5" s="18">
        <v>201</v>
      </c>
      <c r="B5" s="19" t="s">
        <v>171</v>
      </c>
      <c r="C5" s="20">
        <f>D5+E5</f>
        <v>75069</v>
      </c>
      <c r="D5" s="20">
        <v>52235</v>
      </c>
      <c r="E5" s="21">
        <v>22834</v>
      </c>
      <c r="F5" s="16">
        <f>G5+H5</f>
        <v>0</v>
      </c>
      <c r="G5" s="16"/>
      <c r="H5" s="16"/>
      <c r="I5" s="16">
        <f t="shared" ref="I5:I21" si="0">J5+K5</f>
        <v>0</v>
      </c>
      <c r="J5" s="16"/>
      <c r="K5" s="16"/>
      <c r="L5" s="46">
        <f t="shared" ref="L5:L24" si="1">M5+N5</f>
        <v>-1240</v>
      </c>
      <c r="M5" s="46">
        <v>-1240</v>
      </c>
      <c r="N5" s="16"/>
      <c r="O5" s="16">
        <f t="shared" ref="O5:O21" si="2">P5+Q5</f>
        <v>0</v>
      </c>
      <c r="P5" s="16"/>
      <c r="Q5" s="16"/>
      <c r="R5" s="16">
        <f t="shared" ref="R5:R21" si="3">S5+T5</f>
        <v>0</v>
      </c>
      <c r="S5" s="16"/>
      <c r="T5" s="16"/>
      <c r="U5" s="16">
        <f t="shared" ref="U5:U21" si="4">V5+W5</f>
        <v>0</v>
      </c>
      <c r="V5" s="16"/>
      <c r="W5" s="16"/>
      <c r="X5" s="16">
        <f t="shared" ref="X5:X21" si="5">Y5+Z5</f>
        <v>0</v>
      </c>
      <c r="Y5" s="16"/>
      <c r="Z5" s="16"/>
      <c r="AA5" s="16">
        <f t="shared" ref="AA5:AA27" si="6">AB5+AC5</f>
        <v>37418</v>
      </c>
      <c r="AB5" s="16">
        <f>AH5-D5-G5-J5-M5-P5-S5-V5-Y5</f>
        <v>44005</v>
      </c>
      <c r="AC5" s="16">
        <v>-6587</v>
      </c>
      <c r="AD5" s="50">
        <f>AH5+AI5</f>
        <v>111247</v>
      </c>
      <c r="AE5" s="39">
        <v>21600</v>
      </c>
      <c r="AF5" s="39">
        <v>22058.37</v>
      </c>
      <c r="AG5" s="39"/>
      <c r="AH5" s="40">
        <v>95000</v>
      </c>
      <c r="AI5" s="40">
        <f>E5+H5+K5+N5+Q5+T5+W5+Z5+AC5</f>
        <v>16247</v>
      </c>
    </row>
    <row r="6" ht="27" customHeight="1" spans="1:35">
      <c r="A6" s="18">
        <v>203</v>
      </c>
      <c r="B6" s="19" t="s">
        <v>172</v>
      </c>
      <c r="C6" s="20">
        <f t="shared" ref="C6:C24" si="7">D6+E6</f>
        <v>1035</v>
      </c>
      <c r="D6" s="20">
        <v>1035</v>
      </c>
      <c r="E6" s="21"/>
      <c r="F6" s="20">
        <f t="shared" ref="F6:F21" si="8">G6+H6</f>
        <v>0</v>
      </c>
      <c r="G6" s="20"/>
      <c r="H6" s="20"/>
      <c r="I6" s="20">
        <f t="shared" si="0"/>
        <v>0</v>
      </c>
      <c r="J6" s="20"/>
      <c r="K6" s="20"/>
      <c r="L6" s="47">
        <f t="shared" si="1"/>
        <v>-4</v>
      </c>
      <c r="M6" s="47">
        <v>-4</v>
      </c>
      <c r="N6" s="20"/>
      <c r="O6" s="20">
        <f t="shared" si="2"/>
        <v>0</v>
      </c>
      <c r="P6" s="20"/>
      <c r="Q6" s="20"/>
      <c r="R6" s="20">
        <f t="shared" si="3"/>
        <v>0</v>
      </c>
      <c r="S6" s="20"/>
      <c r="T6" s="20"/>
      <c r="U6" s="20">
        <f t="shared" si="4"/>
        <v>0</v>
      </c>
      <c r="V6" s="20"/>
      <c r="W6" s="20"/>
      <c r="X6" s="20">
        <f t="shared" si="5"/>
        <v>0</v>
      </c>
      <c r="Y6" s="20"/>
      <c r="Z6" s="20"/>
      <c r="AA6" s="20">
        <f ca="1" t="shared" si="6"/>
        <v>0</v>
      </c>
      <c r="AB6" s="16">
        <f ca="1" t="shared" ref="AB6:AB28" si="9">AH6-D6-G6-J6-M6-P6-S6-V6-Y6</f>
        <v>0</v>
      </c>
      <c r="AC6" s="20"/>
      <c r="AD6" s="50">
        <f ca="1" t="shared" ref="AD6:AD28" si="10">AH6+AI6</f>
        <v>1031</v>
      </c>
      <c r="AE6" s="39">
        <v>938</v>
      </c>
      <c r="AF6" s="39">
        <v>1184.73</v>
      </c>
      <c r="AG6" s="39"/>
      <c r="AH6" s="41">
        <f ca="1">D6+G6+J6+M6+P6+S6+V6+Y6+AB6</f>
        <v>1031</v>
      </c>
      <c r="AI6" s="41">
        <f t="shared" ref="AI6:AI24" si="11">E6+H6+K6+N6+Q6+T6+W6+Z6+AC6</f>
        <v>0</v>
      </c>
    </row>
    <row r="7" ht="27" customHeight="1" spans="1:35">
      <c r="A7" s="18">
        <v>204</v>
      </c>
      <c r="B7" s="19" t="s">
        <v>173</v>
      </c>
      <c r="C7" s="20">
        <f t="shared" si="7"/>
        <v>42663</v>
      </c>
      <c r="D7" s="20">
        <v>37229</v>
      </c>
      <c r="E7" s="21">
        <v>5434</v>
      </c>
      <c r="F7" s="20">
        <f t="shared" si="8"/>
        <v>67</v>
      </c>
      <c r="G7" s="20">
        <v>67</v>
      </c>
      <c r="H7" s="20"/>
      <c r="I7" s="20">
        <f t="shared" si="0"/>
        <v>0</v>
      </c>
      <c r="J7" s="20"/>
      <c r="K7" s="20"/>
      <c r="L7" s="47">
        <f t="shared" si="1"/>
        <v>-10513</v>
      </c>
      <c r="M7" s="47">
        <v>-10513</v>
      </c>
      <c r="N7" s="20"/>
      <c r="O7" s="20">
        <f t="shared" si="2"/>
        <v>0</v>
      </c>
      <c r="P7" s="20"/>
      <c r="Q7" s="20"/>
      <c r="R7" s="20">
        <f t="shared" si="3"/>
        <v>0</v>
      </c>
      <c r="S7" s="20"/>
      <c r="T7" s="20"/>
      <c r="U7" s="20">
        <f t="shared" si="4"/>
        <v>0</v>
      </c>
      <c r="V7" s="20"/>
      <c r="W7" s="20"/>
      <c r="X7" s="20">
        <f t="shared" si="5"/>
        <v>0</v>
      </c>
      <c r="Y7" s="20"/>
      <c r="Z7" s="20"/>
      <c r="AA7" s="20">
        <f t="shared" si="6"/>
        <v>6684</v>
      </c>
      <c r="AB7" s="16">
        <f t="shared" si="9"/>
        <v>5217</v>
      </c>
      <c r="AC7" s="20">
        <v>1467</v>
      </c>
      <c r="AD7" s="50">
        <f t="shared" si="10"/>
        <v>38901</v>
      </c>
      <c r="AE7" s="39">
        <v>27100</v>
      </c>
      <c r="AF7" s="39">
        <v>27152.71</v>
      </c>
      <c r="AG7" s="39"/>
      <c r="AH7" s="41">
        <v>32000</v>
      </c>
      <c r="AI7" s="41">
        <f t="shared" si="11"/>
        <v>6901</v>
      </c>
    </row>
    <row r="8" ht="30" customHeight="1" spans="1:35">
      <c r="A8" s="18">
        <v>205</v>
      </c>
      <c r="B8" s="19" t="s">
        <v>174</v>
      </c>
      <c r="C8" s="20">
        <f t="shared" si="7"/>
        <v>195001</v>
      </c>
      <c r="D8" s="20">
        <v>131707</v>
      </c>
      <c r="E8" s="21">
        <v>63294</v>
      </c>
      <c r="F8" s="20">
        <f t="shared" si="8"/>
        <v>1134.92</v>
      </c>
      <c r="G8" s="20">
        <v>1134.92</v>
      </c>
      <c r="H8" s="20"/>
      <c r="I8" s="20">
        <f t="shared" si="0"/>
        <v>0</v>
      </c>
      <c r="J8" s="20"/>
      <c r="K8" s="20"/>
      <c r="L8" s="47">
        <f t="shared" si="1"/>
        <v>-3044</v>
      </c>
      <c r="M8" s="47">
        <v>-3044</v>
      </c>
      <c r="N8" s="20"/>
      <c r="O8" s="20">
        <f t="shared" si="2"/>
        <v>0</v>
      </c>
      <c r="P8" s="20"/>
      <c r="Q8" s="20"/>
      <c r="R8" s="20">
        <f t="shared" si="3"/>
        <v>0</v>
      </c>
      <c r="S8" s="20"/>
      <c r="T8" s="20"/>
      <c r="U8" s="20">
        <f t="shared" si="4"/>
        <v>0</v>
      </c>
      <c r="V8" s="20"/>
      <c r="W8" s="20"/>
      <c r="X8" s="20">
        <f t="shared" si="5"/>
        <v>0</v>
      </c>
      <c r="Y8" s="20"/>
      <c r="Z8" s="20"/>
      <c r="AA8" s="20">
        <f t="shared" si="6"/>
        <v>-7363.92</v>
      </c>
      <c r="AB8" s="16">
        <f t="shared" si="9"/>
        <v>-6997.92</v>
      </c>
      <c r="AC8" s="20">
        <v>-366</v>
      </c>
      <c r="AD8" s="50">
        <f t="shared" si="10"/>
        <v>185728</v>
      </c>
      <c r="AE8" s="39">
        <v>68137</v>
      </c>
      <c r="AF8" s="39">
        <v>71695.51</v>
      </c>
      <c r="AG8" s="39">
        <v>5000</v>
      </c>
      <c r="AH8" s="41">
        <v>122800</v>
      </c>
      <c r="AI8" s="41">
        <f t="shared" si="11"/>
        <v>62928</v>
      </c>
    </row>
    <row r="9" ht="25" customHeight="1" spans="1:35">
      <c r="A9" s="18">
        <v>206</v>
      </c>
      <c r="B9" s="19" t="s">
        <v>175</v>
      </c>
      <c r="C9" s="20">
        <f t="shared" si="7"/>
        <v>22103</v>
      </c>
      <c r="D9" s="20">
        <v>6199</v>
      </c>
      <c r="E9" s="21">
        <v>15904</v>
      </c>
      <c r="F9" s="20">
        <f t="shared" si="8"/>
        <v>0</v>
      </c>
      <c r="G9" s="20"/>
      <c r="H9" s="20"/>
      <c r="I9" s="20">
        <f t="shared" si="0"/>
        <v>3500</v>
      </c>
      <c r="J9" s="20"/>
      <c r="K9" s="20">
        <v>3500</v>
      </c>
      <c r="L9" s="47">
        <f t="shared" si="1"/>
        <v>0</v>
      </c>
      <c r="M9" s="47">
        <v>0</v>
      </c>
      <c r="N9" s="20"/>
      <c r="O9" s="20">
        <f t="shared" si="2"/>
        <v>0</v>
      </c>
      <c r="P9" s="20"/>
      <c r="Q9" s="20"/>
      <c r="R9" s="20">
        <f t="shared" si="3"/>
        <v>0</v>
      </c>
      <c r="S9" s="20"/>
      <c r="T9" s="20"/>
      <c r="U9" s="20">
        <f t="shared" si="4"/>
        <v>0</v>
      </c>
      <c r="V9" s="20"/>
      <c r="W9" s="20"/>
      <c r="X9" s="20">
        <f t="shared" si="5"/>
        <v>0</v>
      </c>
      <c r="Y9" s="20"/>
      <c r="Z9" s="20"/>
      <c r="AA9" s="20">
        <f t="shared" si="6"/>
        <v>6386</v>
      </c>
      <c r="AB9" s="16">
        <f t="shared" si="9"/>
        <v>-854</v>
      </c>
      <c r="AC9" s="20">
        <v>7240</v>
      </c>
      <c r="AD9" s="50">
        <f t="shared" si="10"/>
        <v>31989</v>
      </c>
      <c r="AE9" s="39">
        <v>5505</v>
      </c>
      <c r="AF9" s="39">
        <v>11477.8</v>
      </c>
      <c r="AG9" s="39"/>
      <c r="AH9" s="41">
        <v>5345</v>
      </c>
      <c r="AI9" s="41">
        <v>26644</v>
      </c>
    </row>
    <row r="10" ht="33" customHeight="1" spans="1:35">
      <c r="A10" s="18">
        <v>207</v>
      </c>
      <c r="B10" s="19" t="s">
        <v>176</v>
      </c>
      <c r="C10" s="20">
        <f t="shared" si="7"/>
        <v>15729</v>
      </c>
      <c r="D10" s="20">
        <v>14729</v>
      </c>
      <c r="E10" s="21">
        <v>1000</v>
      </c>
      <c r="F10" s="20">
        <f t="shared" si="8"/>
        <v>103.52</v>
      </c>
      <c r="G10" s="20">
        <v>103.52</v>
      </c>
      <c r="H10" s="20"/>
      <c r="I10" s="20">
        <f t="shared" si="0"/>
        <v>0</v>
      </c>
      <c r="J10" s="20"/>
      <c r="K10" s="20"/>
      <c r="L10" s="47">
        <f t="shared" si="1"/>
        <v>0</v>
      </c>
      <c r="M10" s="47">
        <v>0</v>
      </c>
      <c r="N10" s="20"/>
      <c r="O10" s="20">
        <f t="shared" si="2"/>
        <v>0</v>
      </c>
      <c r="P10" s="20"/>
      <c r="Q10" s="20"/>
      <c r="R10" s="20">
        <f t="shared" si="3"/>
        <v>0</v>
      </c>
      <c r="S10" s="20"/>
      <c r="T10" s="20"/>
      <c r="U10" s="20">
        <f t="shared" si="4"/>
        <v>0</v>
      </c>
      <c r="V10" s="20"/>
      <c r="W10" s="20"/>
      <c r="X10" s="20">
        <f t="shared" si="5"/>
        <v>0</v>
      </c>
      <c r="Y10" s="20"/>
      <c r="Z10" s="20"/>
      <c r="AA10" s="20">
        <f t="shared" si="6"/>
        <v>1237.48</v>
      </c>
      <c r="AB10" s="16">
        <f t="shared" si="9"/>
        <v>1112.48</v>
      </c>
      <c r="AC10" s="20">
        <v>125</v>
      </c>
      <c r="AD10" s="50">
        <f t="shared" si="10"/>
        <v>17070</v>
      </c>
      <c r="AE10" s="39">
        <v>6405</v>
      </c>
      <c r="AF10" s="39">
        <v>6854.17</v>
      </c>
      <c r="AG10" s="39"/>
      <c r="AH10" s="41">
        <v>15945</v>
      </c>
      <c r="AI10" s="41">
        <f t="shared" si="11"/>
        <v>1125</v>
      </c>
    </row>
    <row r="11" ht="37.5" spans="1:35">
      <c r="A11" s="18">
        <v>208</v>
      </c>
      <c r="B11" s="19" t="s">
        <v>177</v>
      </c>
      <c r="C11" s="20">
        <f t="shared" si="7"/>
        <v>80326</v>
      </c>
      <c r="D11" s="20">
        <v>71640</v>
      </c>
      <c r="E11" s="21">
        <v>8686</v>
      </c>
      <c r="F11" s="20">
        <f t="shared" si="8"/>
        <v>-2174.94</v>
      </c>
      <c r="G11" s="20">
        <v>-2174.94</v>
      </c>
      <c r="H11" s="20"/>
      <c r="I11" s="20">
        <f t="shared" si="0"/>
        <v>0</v>
      </c>
      <c r="J11" s="20"/>
      <c r="K11" s="20"/>
      <c r="L11" s="47">
        <f t="shared" si="1"/>
        <v>-783</v>
      </c>
      <c r="M11" s="47">
        <v>-2358</v>
      </c>
      <c r="N11" s="20">
        <v>1575</v>
      </c>
      <c r="O11" s="20">
        <f t="shared" si="2"/>
        <v>0</v>
      </c>
      <c r="P11" s="20"/>
      <c r="Q11" s="20"/>
      <c r="R11" s="20">
        <f t="shared" si="3"/>
        <v>0</v>
      </c>
      <c r="S11" s="20"/>
      <c r="T11" s="20"/>
      <c r="U11" s="20">
        <f t="shared" si="4"/>
        <v>0</v>
      </c>
      <c r="V11" s="20"/>
      <c r="W11" s="20"/>
      <c r="X11" s="20">
        <f t="shared" si="5"/>
        <v>0</v>
      </c>
      <c r="Y11" s="20"/>
      <c r="Z11" s="20"/>
      <c r="AA11" s="20">
        <f t="shared" si="6"/>
        <v>-3385.06</v>
      </c>
      <c r="AB11" s="16">
        <f t="shared" si="9"/>
        <v>-6664.06</v>
      </c>
      <c r="AC11" s="20">
        <v>3279</v>
      </c>
      <c r="AD11" s="50">
        <f t="shared" si="10"/>
        <v>73983</v>
      </c>
      <c r="AE11" s="39">
        <v>39288</v>
      </c>
      <c r="AF11" s="39">
        <v>39740</v>
      </c>
      <c r="AG11" s="39"/>
      <c r="AH11" s="41">
        <v>60443</v>
      </c>
      <c r="AI11" s="41">
        <f t="shared" si="11"/>
        <v>13540</v>
      </c>
    </row>
    <row r="12" ht="37.5" spans="1:35">
      <c r="A12" s="18">
        <v>210</v>
      </c>
      <c r="B12" s="19" t="s">
        <v>178</v>
      </c>
      <c r="C12" s="20">
        <f t="shared" si="7"/>
        <v>95575.5</v>
      </c>
      <c r="D12" s="20">
        <v>89060.5</v>
      </c>
      <c r="E12" s="21">
        <v>6515</v>
      </c>
      <c r="F12" s="20">
        <f t="shared" si="8"/>
        <v>546.05</v>
      </c>
      <c r="G12" s="20">
        <v>546.05</v>
      </c>
      <c r="H12" s="20"/>
      <c r="I12" s="20">
        <f t="shared" si="0"/>
        <v>0</v>
      </c>
      <c r="J12" s="20"/>
      <c r="K12" s="20"/>
      <c r="L12" s="47">
        <f t="shared" si="1"/>
        <v>-32294</v>
      </c>
      <c r="M12" s="47">
        <v>-32294</v>
      </c>
      <c r="N12" s="20"/>
      <c r="O12" s="20">
        <f t="shared" si="2"/>
        <v>0</v>
      </c>
      <c r="P12" s="20"/>
      <c r="Q12" s="20"/>
      <c r="R12" s="20">
        <f t="shared" si="3"/>
        <v>0</v>
      </c>
      <c r="S12" s="20"/>
      <c r="T12" s="20"/>
      <c r="U12" s="20">
        <f t="shared" si="4"/>
        <v>0</v>
      </c>
      <c r="V12" s="20"/>
      <c r="W12" s="20"/>
      <c r="X12" s="20">
        <f t="shared" si="5"/>
        <v>73</v>
      </c>
      <c r="Y12" s="20">
        <v>73</v>
      </c>
      <c r="Z12" s="20"/>
      <c r="AA12" s="20">
        <f t="shared" si="6"/>
        <v>6131.45</v>
      </c>
      <c r="AB12" s="16">
        <f t="shared" si="9"/>
        <v>8204.45</v>
      </c>
      <c r="AC12" s="20">
        <v>-2073</v>
      </c>
      <c r="AD12" s="50">
        <f t="shared" si="10"/>
        <v>70032</v>
      </c>
      <c r="AE12" s="39">
        <v>49511</v>
      </c>
      <c r="AF12" s="39">
        <v>50415</v>
      </c>
      <c r="AG12" s="39"/>
      <c r="AH12" s="41">
        <v>65590</v>
      </c>
      <c r="AI12" s="41">
        <f t="shared" si="11"/>
        <v>4442</v>
      </c>
    </row>
    <row r="13" ht="27" customHeight="1" spans="1:35">
      <c r="A13" s="18">
        <v>211</v>
      </c>
      <c r="B13" s="19" t="s">
        <v>179</v>
      </c>
      <c r="C13" s="20">
        <f t="shared" si="7"/>
        <v>14404</v>
      </c>
      <c r="D13" s="20">
        <v>12639</v>
      </c>
      <c r="E13" s="21">
        <v>1765</v>
      </c>
      <c r="F13" s="20">
        <f t="shared" si="8"/>
        <v>297</v>
      </c>
      <c r="G13" s="20">
        <v>297</v>
      </c>
      <c r="H13" s="20"/>
      <c r="I13" s="20">
        <f t="shared" si="0"/>
        <v>0</v>
      </c>
      <c r="J13" s="20"/>
      <c r="K13" s="20"/>
      <c r="L13" s="47">
        <f t="shared" si="1"/>
        <v>-876</v>
      </c>
      <c r="M13" s="47">
        <v>-876</v>
      </c>
      <c r="N13" s="20"/>
      <c r="O13" s="20">
        <f t="shared" si="2"/>
        <v>0</v>
      </c>
      <c r="P13" s="20"/>
      <c r="Q13" s="20"/>
      <c r="R13" s="20">
        <f t="shared" si="3"/>
        <v>0</v>
      </c>
      <c r="S13" s="20"/>
      <c r="T13" s="20"/>
      <c r="U13" s="20">
        <f t="shared" si="4"/>
        <v>0</v>
      </c>
      <c r="V13" s="20"/>
      <c r="W13" s="20"/>
      <c r="X13" s="20">
        <f t="shared" si="5"/>
        <v>0</v>
      </c>
      <c r="Y13" s="20"/>
      <c r="Z13" s="20"/>
      <c r="AA13" s="20">
        <f ca="1" t="shared" si="6"/>
        <v>-2946</v>
      </c>
      <c r="AB13" s="16">
        <f ca="1" t="shared" si="9"/>
        <v>0</v>
      </c>
      <c r="AC13" s="20">
        <v>-750</v>
      </c>
      <c r="AD13" s="50">
        <f ca="1" t="shared" si="10"/>
        <v>10879</v>
      </c>
      <c r="AE13" s="39">
        <v>25066</v>
      </c>
      <c r="AF13" s="39">
        <v>26706.68</v>
      </c>
      <c r="AG13" s="39"/>
      <c r="AH13" s="41">
        <f ca="1">D13+G13+J13+M13+P13+S13+V13+Y13+AB13</f>
        <v>9864</v>
      </c>
      <c r="AI13" s="41">
        <f t="shared" si="11"/>
        <v>1015</v>
      </c>
    </row>
    <row r="14" ht="27" customHeight="1" spans="1:35">
      <c r="A14" s="18">
        <v>212</v>
      </c>
      <c r="B14" s="19" t="s">
        <v>180</v>
      </c>
      <c r="C14" s="20">
        <f t="shared" si="7"/>
        <v>254793.5</v>
      </c>
      <c r="D14" s="20">
        <v>230030.5</v>
      </c>
      <c r="E14" s="21">
        <v>24763</v>
      </c>
      <c r="F14" s="20">
        <f t="shared" si="8"/>
        <v>53</v>
      </c>
      <c r="G14" s="30"/>
      <c r="H14" s="20">
        <v>53</v>
      </c>
      <c r="I14" s="20">
        <f t="shared" si="0"/>
        <v>15000</v>
      </c>
      <c r="J14" s="20">
        <v>15000</v>
      </c>
      <c r="K14" s="20"/>
      <c r="L14" s="47">
        <f t="shared" si="1"/>
        <v>-21082</v>
      </c>
      <c r="M14" s="47">
        <v>-21082</v>
      </c>
      <c r="N14" s="20"/>
      <c r="O14" s="20">
        <f t="shared" si="2"/>
        <v>100000</v>
      </c>
      <c r="P14" s="20">
        <v>100000</v>
      </c>
      <c r="Q14" s="20"/>
      <c r="R14" s="20">
        <f t="shared" si="3"/>
        <v>52764</v>
      </c>
      <c r="S14" s="20">
        <v>52764</v>
      </c>
      <c r="T14" s="20"/>
      <c r="U14" s="20">
        <f t="shared" si="4"/>
        <v>-108745</v>
      </c>
      <c r="V14" s="20">
        <v>-108745</v>
      </c>
      <c r="W14" s="20"/>
      <c r="X14" s="20">
        <f t="shared" si="5"/>
        <v>0</v>
      </c>
      <c r="Y14" s="20"/>
      <c r="Z14" s="20"/>
      <c r="AA14" s="20">
        <f t="shared" si="6"/>
        <v>-4873</v>
      </c>
      <c r="AB14" s="16">
        <v>-5273</v>
      </c>
      <c r="AC14" s="20">
        <v>400</v>
      </c>
      <c r="AD14" s="50">
        <f t="shared" si="10"/>
        <v>290106</v>
      </c>
      <c r="AE14" s="39">
        <v>100673</v>
      </c>
      <c r="AF14" s="39">
        <f>102374.59+7642.5+30000</f>
        <v>140017.09</v>
      </c>
      <c r="AG14" s="39"/>
      <c r="AH14" s="41">
        <v>264890</v>
      </c>
      <c r="AI14" s="41">
        <f t="shared" si="11"/>
        <v>25216</v>
      </c>
    </row>
    <row r="15" ht="27" customHeight="1" spans="1:35">
      <c r="A15" s="18">
        <v>213</v>
      </c>
      <c r="B15" s="19" t="s">
        <v>181</v>
      </c>
      <c r="C15" s="20">
        <f t="shared" si="7"/>
        <v>87054</v>
      </c>
      <c r="D15" s="20">
        <v>83180</v>
      </c>
      <c r="E15" s="21">
        <v>3874</v>
      </c>
      <c r="F15" s="20">
        <f t="shared" si="8"/>
        <v>4780.8816</v>
      </c>
      <c r="G15" s="20">
        <v>4780.8816</v>
      </c>
      <c r="H15" s="20"/>
      <c r="I15" s="20">
        <f t="shared" si="0"/>
        <v>0</v>
      </c>
      <c r="J15" s="20"/>
      <c r="K15" s="20"/>
      <c r="L15" s="47">
        <f t="shared" si="1"/>
        <v>-33692</v>
      </c>
      <c r="M15" s="47">
        <v>-33692</v>
      </c>
      <c r="N15" s="20"/>
      <c r="O15" s="20">
        <f t="shared" si="2"/>
        <v>0</v>
      </c>
      <c r="P15" s="20"/>
      <c r="Q15" s="20"/>
      <c r="R15" s="20">
        <f t="shared" si="3"/>
        <v>0</v>
      </c>
      <c r="S15" s="20"/>
      <c r="T15" s="20"/>
      <c r="U15" s="20">
        <f t="shared" si="4"/>
        <v>0</v>
      </c>
      <c r="V15" s="20"/>
      <c r="W15" s="20"/>
      <c r="X15" s="20">
        <f t="shared" si="5"/>
        <v>0</v>
      </c>
      <c r="Y15" s="20"/>
      <c r="Z15" s="20"/>
      <c r="AA15" s="20">
        <f t="shared" si="6"/>
        <v>-16176.8816</v>
      </c>
      <c r="AB15" s="16">
        <f t="shared" si="9"/>
        <v>-15803.8816</v>
      </c>
      <c r="AC15" s="20">
        <v>-373</v>
      </c>
      <c r="AD15" s="50">
        <f t="shared" si="10"/>
        <v>41966</v>
      </c>
      <c r="AE15" s="39">
        <v>37009</v>
      </c>
      <c r="AF15" s="39">
        <v>38001.8</v>
      </c>
      <c r="AG15" s="39"/>
      <c r="AH15" s="41">
        <v>38465</v>
      </c>
      <c r="AI15" s="41">
        <f t="shared" si="11"/>
        <v>3501</v>
      </c>
    </row>
    <row r="16" ht="27" customHeight="1" spans="1:35">
      <c r="A16" s="18">
        <v>214</v>
      </c>
      <c r="B16" s="19" t="s">
        <v>182</v>
      </c>
      <c r="C16" s="20">
        <f t="shared" si="7"/>
        <v>5341</v>
      </c>
      <c r="D16" s="20">
        <v>4216</v>
      </c>
      <c r="E16" s="21">
        <v>1125</v>
      </c>
      <c r="F16" s="20">
        <f t="shared" si="8"/>
        <v>0</v>
      </c>
      <c r="G16" s="20"/>
      <c r="H16" s="20"/>
      <c r="I16" s="20">
        <f t="shared" si="0"/>
        <v>0</v>
      </c>
      <c r="J16" s="20"/>
      <c r="K16" s="20"/>
      <c r="L16" s="47">
        <f t="shared" si="1"/>
        <v>-445</v>
      </c>
      <c r="M16" s="47">
        <v>-445</v>
      </c>
      <c r="N16" s="20"/>
      <c r="O16" s="20">
        <f t="shared" si="2"/>
        <v>0</v>
      </c>
      <c r="P16" s="20"/>
      <c r="Q16" s="20"/>
      <c r="R16" s="20">
        <f t="shared" si="3"/>
        <v>0</v>
      </c>
      <c r="S16" s="20"/>
      <c r="T16" s="20"/>
      <c r="U16" s="20">
        <f t="shared" si="4"/>
        <v>0</v>
      </c>
      <c r="V16" s="20"/>
      <c r="W16" s="20"/>
      <c r="X16" s="20">
        <f t="shared" si="5"/>
        <v>0</v>
      </c>
      <c r="Y16" s="20"/>
      <c r="Z16" s="20"/>
      <c r="AA16" s="20">
        <f t="shared" si="6"/>
        <v>4301</v>
      </c>
      <c r="AB16" s="16">
        <f t="shared" si="9"/>
        <v>4616</v>
      </c>
      <c r="AC16" s="20">
        <v>-315</v>
      </c>
      <c r="AD16" s="50">
        <f t="shared" si="10"/>
        <v>9197</v>
      </c>
      <c r="AE16" s="39">
        <v>4881</v>
      </c>
      <c r="AF16" s="39">
        <v>5045.2</v>
      </c>
      <c r="AG16" s="39"/>
      <c r="AH16" s="41">
        <v>8387</v>
      </c>
      <c r="AI16" s="41">
        <f t="shared" si="11"/>
        <v>810</v>
      </c>
    </row>
    <row r="17" ht="37.5" spans="1:35">
      <c r="A17" s="18">
        <v>215</v>
      </c>
      <c r="B17" s="19" t="s">
        <v>183</v>
      </c>
      <c r="C17" s="20">
        <f t="shared" si="7"/>
        <v>899</v>
      </c>
      <c r="D17" s="20">
        <v>316</v>
      </c>
      <c r="E17" s="21">
        <v>583</v>
      </c>
      <c r="F17" s="20">
        <f t="shared" si="8"/>
        <v>0</v>
      </c>
      <c r="G17" s="20"/>
      <c r="H17" s="20"/>
      <c r="I17" s="20">
        <f t="shared" si="0"/>
        <v>0</v>
      </c>
      <c r="J17" s="20"/>
      <c r="K17" s="20"/>
      <c r="L17" s="47">
        <f t="shared" si="1"/>
        <v>-87</v>
      </c>
      <c r="M17" s="47">
        <v>-87</v>
      </c>
      <c r="N17" s="20"/>
      <c r="O17" s="20">
        <f t="shared" si="2"/>
        <v>0</v>
      </c>
      <c r="P17" s="20"/>
      <c r="Q17" s="20"/>
      <c r="R17" s="20">
        <f t="shared" si="3"/>
        <v>0</v>
      </c>
      <c r="S17" s="20"/>
      <c r="T17" s="20"/>
      <c r="U17" s="20">
        <f t="shared" si="4"/>
        <v>0</v>
      </c>
      <c r="V17" s="20"/>
      <c r="W17" s="20"/>
      <c r="X17" s="20">
        <f t="shared" si="5"/>
        <v>0</v>
      </c>
      <c r="Y17" s="20"/>
      <c r="Z17" s="20"/>
      <c r="AA17" s="20">
        <f t="shared" si="6"/>
        <v>457</v>
      </c>
      <c r="AB17" s="16">
        <f t="shared" si="9"/>
        <v>827</v>
      </c>
      <c r="AC17" s="20">
        <v>-370</v>
      </c>
      <c r="AD17" s="50">
        <f t="shared" si="10"/>
        <v>1269</v>
      </c>
      <c r="AE17" s="39">
        <v>1913.5</v>
      </c>
      <c r="AF17" s="39">
        <v>2101.73</v>
      </c>
      <c r="AG17" s="39"/>
      <c r="AH17" s="41">
        <v>1056</v>
      </c>
      <c r="AI17" s="41">
        <f t="shared" si="11"/>
        <v>213</v>
      </c>
    </row>
    <row r="18" ht="37.5" spans="1:35">
      <c r="A18" s="18">
        <v>216</v>
      </c>
      <c r="B18" s="19" t="s">
        <v>184</v>
      </c>
      <c r="C18" s="20">
        <f t="shared" si="7"/>
        <v>4464</v>
      </c>
      <c r="D18" s="20">
        <v>3664</v>
      </c>
      <c r="E18" s="21">
        <v>800</v>
      </c>
      <c r="F18" s="20">
        <f t="shared" si="8"/>
        <v>0</v>
      </c>
      <c r="G18" s="20"/>
      <c r="H18" s="20"/>
      <c r="I18" s="20">
        <f t="shared" si="0"/>
        <v>0</v>
      </c>
      <c r="J18" s="20"/>
      <c r="K18" s="20"/>
      <c r="L18" s="47">
        <f t="shared" si="1"/>
        <v>-168</v>
      </c>
      <c r="M18" s="47">
        <v>-168</v>
      </c>
      <c r="N18" s="20"/>
      <c r="O18" s="20">
        <f t="shared" si="2"/>
        <v>0</v>
      </c>
      <c r="P18" s="20"/>
      <c r="Q18" s="20"/>
      <c r="R18" s="20">
        <f t="shared" si="3"/>
        <v>0</v>
      </c>
      <c r="S18" s="20"/>
      <c r="T18" s="20"/>
      <c r="U18" s="20">
        <f t="shared" si="4"/>
        <v>0</v>
      </c>
      <c r="V18" s="20"/>
      <c r="W18" s="20"/>
      <c r="X18" s="20">
        <f t="shared" si="5"/>
        <v>0</v>
      </c>
      <c r="Y18" s="20"/>
      <c r="Z18" s="20"/>
      <c r="AA18" s="20">
        <f t="shared" si="6"/>
        <v>1126</v>
      </c>
      <c r="AB18" s="16">
        <f t="shared" si="9"/>
        <v>1426</v>
      </c>
      <c r="AC18" s="20">
        <v>-300</v>
      </c>
      <c r="AD18" s="50">
        <f t="shared" si="10"/>
        <v>5422</v>
      </c>
      <c r="AE18" s="39">
        <v>2320.73</v>
      </c>
      <c r="AF18" s="39">
        <v>2532.11</v>
      </c>
      <c r="AG18" s="39"/>
      <c r="AH18" s="41">
        <v>4922</v>
      </c>
      <c r="AI18" s="41">
        <f t="shared" si="11"/>
        <v>500</v>
      </c>
    </row>
    <row r="19" ht="37.5" spans="1:35">
      <c r="A19" s="18">
        <v>220</v>
      </c>
      <c r="B19" s="19" t="s">
        <v>185</v>
      </c>
      <c r="C19" s="20">
        <f t="shared" si="7"/>
        <v>10402</v>
      </c>
      <c r="D19" s="20">
        <v>6786</v>
      </c>
      <c r="E19" s="21">
        <v>3616</v>
      </c>
      <c r="F19" s="20">
        <f t="shared" si="8"/>
        <v>0</v>
      </c>
      <c r="G19" s="20"/>
      <c r="H19" s="20"/>
      <c r="I19" s="20">
        <f t="shared" si="0"/>
        <v>0</v>
      </c>
      <c r="J19" s="20"/>
      <c r="K19" s="20"/>
      <c r="L19" s="47">
        <f t="shared" si="1"/>
        <v>-2273</v>
      </c>
      <c r="M19" s="47">
        <v>-2273</v>
      </c>
      <c r="N19" s="20"/>
      <c r="O19" s="20">
        <f t="shared" si="2"/>
        <v>0</v>
      </c>
      <c r="P19" s="20"/>
      <c r="Q19" s="20"/>
      <c r="R19" s="20">
        <f t="shared" si="3"/>
        <v>0</v>
      </c>
      <c r="S19" s="20"/>
      <c r="T19" s="20"/>
      <c r="U19" s="20">
        <f t="shared" si="4"/>
        <v>0</v>
      </c>
      <c r="V19" s="20"/>
      <c r="W19" s="20"/>
      <c r="X19" s="20">
        <f t="shared" si="5"/>
        <v>0</v>
      </c>
      <c r="Y19" s="20"/>
      <c r="Z19" s="20"/>
      <c r="AA19" s="20">
        <f t="shared" si="6"/>
        <v>-310</v>
      </c>
      <c r="AB19" s="16">
        <f t="shared" si="9"/>
        <v>673</v>
      </c>
      <c r="AC19" s="20">
        <v>-983</v>
      </c>
      <c r="AD19" s="50">
        <f t="shared" si="10"/>
        <v>7819</v>
      </c>
      <c r="AE19" s="39">
        <v>2842.09</v>
      </c>
      <c r="AF19" s="39">
        <v>2842.09</v>
      </c>
      <c r="AG19" s="39"/>
      <c r="AH19" s="41">
        <v>5186</v>
      </c>
      <c r="AI19" s="41">
        <f t="shared" si="11"/>
        <v>2633</v>
      </c>
    </row>
    <row r="20" ht="18.75" spans="1:35">
      <c r="A20" s="18">
        <v>221</v>
      </c>
      <c r="B20" s="19" t="s">
        <v>186</v>
      </c>
      <c r="C20" s="20">
        <f t="shared" si="7"/>
        <v>7072</v>
      </c>
      <c r="D20" s="20">
        <v>4664</v>
      </c>
      <c r="E20" s="21">
        <v>2408</v>
      </c>
      <c r="F20" s="20">
        <f t="shared" si="8"/>
        <v>10</v>
      </c>
      <c r="G20" s="20">
        <v>10</v>
      </c>
      <c r="H20" s="20"/>
      <c r="I20" s="20">
        <f t="shared" si="0"/>
        <v>0</v>
      </c>
      <c r="J20" s="20"/>
      <c r="K20" s="20"/>
      <c r="L20" s="47">
        <f t="shared" si="1"/>
        <v>0</v>
      </c>
      <c r="M20" s="47">
        <v>0</v>
      </c>
      <c r="N20" s="20"/>
      <c r="O20" s="20">
        <f t="shared" si="2"/>
        <v>0</v>
      </c>
      <c r="P20" s="20"/>
      <c r="Q20" s="20"/>
      <c r="R20" s="20">
        <f t="shared" si="3"/>
        <v>0</v>
      </c>
      <c r="S20" s="20"/>
      <c r="T20" s="20"/>
      <c r="U20" s="20">
        <f t="shared" si="4"/>
        <v>0</v>
      </c>
      <c r="V20" s="20"/>
      <c r="W20" s="20"/>
      <c r="X20" s="20">
        <f t="shared" si="5"/>
        <v>0</v>
      </c>
      <c r="Y20" s="20"/>
      <c r="Z20" s="20"/>
      <c r="AA20" s="20">
        <f t="shared" si="6"/>
        <v>-174</v>
      </c>
      <c r="AB20" s="16">
        <f t="shared" si="9"/>
        <v>826</v>
      </c>
      <c r="AC20" s="20">
        <v>-1000</v>
      </c>
      <c r="AD20" s="50">
        <f t="shared" si="10"/>
        <v>6908</v>
      </c>
      <c r="AE20" s="39">
        <v>14906.36</v>
      </c>
      <c r="AF20" s="39">
        <v>15051.36</v>
      </c>
      <c r="AG20" s="39"/>
      <c r="AH20" s="41">
        <v>5500</v>
      </c>
      <c r="AI20" s="41">
        <f t="shared" si="11"/>
        <v>1408</v>
      </c>
    </row>
    <row r="21" ht="37.5" spans="1:35">
      <c r="A21" s="18">
        <v>222</v>
      </c>
      <c r="B21" s="19" t="s">
        <v>187</v>
      </c>
      <c r="C21" s="20">
        <f t="shared" si="7"/>
        <v>2903</v>
      </c>
      <c r="D21" s="20">
        <v>2903</v>
      </c>
      <c r="E21" s="21"/>
      <c r="F21" s="20">
        <f t="shared" si="8"/>
        <v>0</v>
      </c>
      <c r="G21" s="20"/>
      <c r="H21" s="20"/>
      <c r="I21" s="20">
        <f t="shared" si="0"/>
        <v>0</v>
      </c>
      <c r="J21" s="20"/>
      <c r="K21" s="20"/>
      <c r="L21" s="47">
        <f t="shared" si="1"/>
        <v>-670</v>
      </c>
      <c r="M21" s="47">
        <v>-670</v>
      </c>
      <c r="N21" s="20"/>
      <c r="O21" s="20">
        <f t="shared" si="2"/>
        <v>0</v>
      </c>
      <c r="P21" s="20"/>
      <c r="Q21" s="20"/>
      <c r="R21" s="20">
        <f t="shared" si="3"/>
        <v>0</v>
      </c>
      <c r="S21" s="20"/>
      <c r="T21" s="20"/>
      <c r="U21" s="20">
        <f t="shared" si="4"/>
        <v>0</v>
      </c>
      <c r="V21" s="20"/>
      <c r="W21" s="20"/>
      <c r="X21" s="20">
        <f t="shared" si="5"/>
        <v>0</v>
      </c>
      <c r="Y21" s="20"/>
      <c r="Z21" s="20"/>
      <c r="AA21" s="20">
        <f t="shared" si="6"/>
        <v>703</v>
      </c>
      <c r="AB21" s="16">
        <f t="shared" si="9"/>
        <v>703</v>
      </c>
      <c r="AC21" s="20"/>
      <c r="AD21" s="50">
        <f t="shared" si="10"/>
        <v>2936</v>
      </c>
      <c r="AE21" s="39">
        <v>2969.49</v>
      </c>
      <c r="AF21" s="39">
        <v>2984.36</v>
      </c>
      <c r="AG21" s="39"/>
      <c r="AH21" s="41">
        <v>2936</v>
      </c>
      <c r="AI21" s="41">
        <f t="shared" si="11"/>
        <v>0</v>
      </c>
    </row>
    <row r="22" ht="37.5" spans="1:35">
      <c r="A22" s="18">
        <v>224</v>
      </c>
      <c r="B22" s="19" t="s">
        <v>188</v>
      </c>
      <c r="C22" s="20">
        <f t="shared" si="7"/>
        <v>3322</v>
      </c>
      <c r="D22" s="20">
        <v>3322</v>
      </c>
      <c r="E22" s="21"/>
      <c r="F22" s="20"/>
      <c r="G22" s="20"/>
      <c r="H22" s="20"/>
      <c r="I22" s="20"/>
      <c r="J22" s="20"/>
      <c r="K22" s="20"/>
      <c r="L22" s="47">
        <f t="shared" si="1"/>
        <v>-677</v>
      </c>
      <c r="M22" s="47">
        <v>-677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>
        <f t="shared" si="6"/>
        <v>683</v>
      </c>
      <c r="AB22" s="16">
        <f t="shared" si="9"/>
        <v>177</v>
      </c>
      <c r="AC22" s="20">
        <v>506</v>
      </c>
      <c r="AD22" s="50">
        <f t="shared" si="10"/>
        <v>3328</v>
      </c>
      <c r="AE22" s="39"/>
      <c r="AF22" s="39"/>
      <c r="AG22" s="39"/>
      <c r="AH22" s="41">
        <v>2822</v>
      </c>
      <c r="AI22" s="41">
        <f t="shared" si="11"/>
        <v>506</v>
      </c>
    </row>
    <row r="23" ht="30" customHeight="1" spans="1:35">
      <c r="A23" s="18">
        <v>227</v>
      </c>
      <c r="B23" s="19" t="s">
        <v>189</v>
      </c>
      <c r="C23" s="20">
        <f t="shared" si="7"/>
        <v>18500</v>
      </c>
      <c r="D23" s="20">
        <v>15000</v>
      </c>
      <c r="E23" s="21">
        <v>3500</v>
      </c>
      <c r="F23" s="20">
        <f>G23+H23</f>
        <v>0</v>
      </c>
      <c r="G23" s="20"/>
      <c r="H23" s="20"/>
      <c r="I23" s="20">
        <f>J23+K23</f>
        <v>-18500</v>
      </c>
      <c r="J23" s="20">
        <v>-15000</v>
      </c>
      <c r="K23" s="20">
        <v>-3500</v>
      </c>
      <c r="L23" s="47">
        <f t="shared" si="1"/>
        <v>0</v>
      </c>
      <c r="M23" s="47">
        <v>0</v>
      </c>
      <c r="N23" s="20"/>
      <c r="O23" s="20">
        <f>P23+Q23</f>
        <v>0</v>
      </c>
      <c r="P23" s="20"/>
      <c r="Q23" s="20"/>
      <c r="R23" s="20">
        <f>S23+T23</f>
        <v>0</v>
      </c>
      <c r="S23" s="20"/>
      <c r="T23" s="20"/>
      <c r="U23" s="20">
        <f>V23+W23</f>
        <v>0</v>
      </c>
      <c r="V23" s="20"/>
      <c r="W23" s="20"/>
      <c r="X23" s="20">
        <f>Y23+Z23</f>
        <v>0</v>
      </c>
      <c r="Y23" s="20"/>
      <c r="Z23" s="20"/>
      <c r="AA23" s="20">
        <f ca="1" t="shared" si="6"/>
        <v>0</v>
      </c>
      <c r="AB23" s="16">
        <f ca="1" t="shared" si="9"/>
        <v>0</v>
      </c>
      <c r="AC23" s="20"/>
      <c r="AD23" s="50">
        <f ca="1" t="shared" si="10"/>
        <v>0</v>
      </c>
      <c r="AE23" s="39"/>
      <c r="AF23" s="39"/>
      <c r="AG23" s="39"/>
      <c r="AH23" s="41">
        <f ca="1">D23+G23+J23+M23+P23+S23+V23+Y23+AB23</f>
        <v>0</v>
      </c>
      <c r="AI23" s="41">
        <f t="shared" si="11"/>
        <v>0</v>
      </c>
    </row>
    <row r="24" ht="27" customHeight="1" spans="1:35">
      <c r="A24" s="44">
        <v>229</v>
      </c>
      <c r="B24" s="45" t="s">
        <v>190</v>
      </c>
      <c r="C24" s="20">
        <f t="shared" si="7"/>
        <v>84752</v>
      </c>
      <c r="D24" s="20">
        <v>76752</v>
      </c>
      <c r="E24" s="21">
        <v>8000</v>
      </c>
      <c r="F24" s="20">
        <f>G24+H24</f>
        <v>0</v>
      </c>
      <c r="G24" s="20"/>
      <c r="H24" s="20"/>
      <c r="I24" s="20">
        <f>J24+K24</f>
        <v>0</v>
      </c>
      <c r="J24" s="20"/>
      <c r="K24" s="20"/>
      <c r="L24" s="47">
        <f t="shared" si="1"/>
        <v>-1165</v>
      </c>
      <c r="M24" s="47">
        <v>-1165</v>
      </c>
      <c r="N24" s="20"/>
      <c r="O24" s="20">
        <f>P24+Q24</f>
        <v>0</v>
      </c>
      <c r="P24" s="20"/>
      <c r="Q24" s="20"/>
      <c r="R24" s="20">
        <f>S24+T24</f>
        <v>0</v>
      </c>
      <c r="S24" s="20"/>
      <c r="T24" s="20"/>
      <c r="U24" s="20">
        <f>V24+W24</f>
        <v>0</v>
      </c>
      <c r="V24" s="20"/>
      <c r="W24" s="20"/>
      <c r="X24" s="20">
        <f>Y24+Z24</f>
        <v>0</v>
      </c>
      <c r="Y24" s="20"/>
      <c r="Z24" s="20"/>
      <c r="AA24" s="20">
        <f t="shared" si="6"/>
        <v>-32669</v>
      </c>
      <c r="AB24" s="16">
        <f t="shared" si="9"/>
        <v>-32769</v>
      </c>
      <c r="AC24" s="20">
        <v>100</v>
      </c>
      <c r="AD24" s="50">
        <f t="shared" si="10"/>
        <v>50918</v>
      </c>
      <c r="AE24" s="39">
        <v>19264.7</v>
      </c>
      <c r="AF24" s="39">
        <v>19264.69</v>
      </c>
      <c r="AG24" s="39">
        <v>20000</v>
      </c>
      <c r="AH24" s="41">
        <v>42818</v>
      </c>
      <c r="AI24" s="41">
        <f t="shared" si="11"/>
        <v>8100</v>
      </c>
    </row>
    <row r="25" ht="30" customHeight="1" spans="1:35">
      <c r="A25" s="44">
        <v>231</v>
      </c>
      <c r="B25" s="23" t="s">
        <v>191</v>
      </c>
      <c r="C25" s="20">
        <v>7075</v>
      </c>
      <c r="D25" s="20">
        <v>7075</v>
      </c>
      <c r="E25" s="21"/>
      <c r="F25" s="20"/>
      <c r="G25" s="20"/>
      <c r="H25" s="20"/>
      <c r="I25" s="20"/>
      <c r="J25" s="20"/>
      <c r="K25" s="20"/>
      <c r="L25" s="47"/>
      <c r="M25" s="47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>
        <f t="shared" si="6"/>
        <v>0</v>
      </c>
      <c r="AB25" s="16">
        <f t="shared" si="9"/>
        <v>0</v>
      </c>
      <c r="AC25" s="20"/>
      <c r="AD25" s="50">
        <f t="shared" si="10"/>
        <v>7075</v>
      </c>
      <c r="AE25" s="39"/>
      <c r="AF25" s="39"/>
      <c r="AG25" s="39"/>
      <c r="AH25" s="41">
        <v>7075</v>
      </c>
      <c r="AI25" s="41"/>
    </row>
    <row r="26" ht="30" customHeight="1" spans="1:35">
      <c r="A26" s="44">
        <v>232</v>
      </c>
      <c r="B26" s="19" t="s">
        <v>192</v>
      </c>
      <c r="C26" s="20">
        <v>7032</v>
      </c>
      <c r="D26" s="20">
        <v>7032</v>
      </c>
      <c r="E26" s="21"/>
      <c r="F26" s="20"/>
      <c r="G26" s="20"/>
      <c r="H26" s="20"/>
      <c r="I26" s="20"/>
      <c r="J26" s="20"/>
      <c r="K26" s="20"/>
      <c r="L26" s="47"/>
      <c r="M26" s="47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>
        <f t="shared" si="6"/>
        <v>529</v>
      </c>
      <c r="AB26" s="16">
        <v>529</v>
      </c>
      <c r="AC26" s="20"/>
      <c r="AD26" s="50">
        <f t="shared" si="10"/>
        <v>7561</v>
      </c>
      <c r="AE26" s="39"/>
      <c r="AF26" s="39"/>
      <c r="AG26" s="39"/>
      <c r="AH26" s="41">
        <f>D26+G26+J26+M26+P26+S26+V26+Y26+AB26</f>
        <v>7561</v>
      </c>
      <c r="AI26" s="41"/>
    </row>
    <row r="27" ht="43" customHeight="1" spans="1:35">
      <c r="A27" s="44">
        <v>233</v>
      </c>
      <c r="B27" s="22" t="s">
        <v>193</v>
      </c>
      <c r="C27" s="20"/>
      <c r="D27" s="20"/>
      <c r="E27" s="21"/>
      <c r="F27" s="20"/>
      <c r="G27" s="20"/>
      <c r="H27" s="20"/>
      <c r="I27" s="20"/>
      <c r="J27" s="20"/>
      <c r="K27" s="20"/>
      <c r="L27" s="47"/>
      <c r="M27" s="47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>
        <f t="shared" si="6"/>
        <v>46</v>
      </c>
      <c r="AB27" s="16">
        <v>46</v>
      </c>
      <c r="AC27" s="20"/>
      <c r="AD27" s="50">
        <f t="shared" si="10"/>
        <v>46</v>
      </c>
      <c r="AE27" s="39"/>
      <c r="AF27" s="39"/>
      <c r="AG27" s="39"/>
      <c r="AH27" s="41">
        <f>D27+G27+J27+M27+P27+S27+V27+Y27+AB27</f>
        <v>46</v>
      </c>
      <c r="AI27" s="41"/>
    </row>
    <row r="28" ht="30" customHeight="1" spans="1:35">
      <c r="A28" s="24"/>
      <c r="B28" s="25" t="s">
        <v>194</v>
      </c>
      <c r="C28" s="26">
        <f>SUM(C5:C27)</f>
        <v>1035515</v>
      </c>
      <c r="D28" s="26">
        <f>SUM(D5:D26)</f>
        <v>861414</v>
      </c>
      <c r="E28" s="26">
        <f t="shared" ref="E28:Z28" si="12">SUM(E5:E24)</f>
        <v>174101</v>
      </c>
      <c r="F28" s="26">
        <f t="shared" si="12"/>
        <v>4817.4316</v>
      </c>
      <c r="G28" s="26">
        <f t="shared" si="12"/>
        <v>4764.4316</v>
      </c>
      <c r="H28" s="26">
        <f t="shared" si="12"/>
        <v>53</v>
      </c>
      <c r="I28" s="26">
        <f t="shared" si="12"/>
        <v>0</v>
      </c>
      <c r="J28" s="26">
        <f t="shared" si="12"/>
        <v>0</v>
      </c>
      <c r="K28" s="26">
        <f t="shared" si="12"/>
        <v>0</v>
      </c>
      <c r="L28" s="48">
        <f t="shared" si="12"/>
        <v>-109013</v>
      </c>
      <c r="M28" s="48">
        <f t="shared" si="12"/>
        <v>-110588</v>
      </c>
      <c r="N28" s="26">
        <f t="shared" si="12"/>
        <v>1575</v>
      </c>
      <c r="O28" s="26">
        <f t="shared" si="12"/>
        <v>100000</v>
      </c>
      <c r="P28" s="26">
        <f t="shared" si="12"/>
        <v>100000</v>
      </c>
      <c r="Q28" s="26">
        <f t="shared" si="12"/>
        <v>0</v>
      </c>
      <c r="R28" s="26">
        <f t="shared" si="12"/>
        <v>52764</v>
      </c>
      <c r="S28" s="26">
        <f t="shared" si="12"/>
        <v>52764</v>
      </c>
      <c r="T28" s="26">
        <f t="shared" si="12"/>
        <v>0</v>
      </c>
      <c r="U28" s="26">
        <f t="shared" si="12"/>
        <v>-108745</v>
      </c>
      <c r="V28" s="26">
        <f t="shared" si="12"/>
        <v>-108745</v>
      </c>
      <c r="W28" s="26">
        <f t="shared" si="12"/>
        <v>0</v>
      </c>
      <c r="X28" s="26">
        <f t="shared" si="12"/>
        <v>73</v>
      </c>
      <c r="Y28" s="26">
        <f t="shared" si="12"/>
        <v>73</v>
      </c>
      <c r="Z28" s="26">
        <f t="shared" si="12"/>
        <v>0</v>
      </c>
      <c r="AA28" s="26">
        <v>0</v>
      </c>
      <c r="AB28" s="16">
        <v>0</v>
      </c>
      <c r="AC28" s="26">
        <f>SUM(AC5:AC24)</f>
        <v>0</v>
      </c>
      <c r="AD28" s="50">
        <f t="shared" si="10"/>
        <v>975411</v>
      </c>
      <c r="AE28" s="26">
        <f>SUM(AE5:AE24)</f>
        <v>430329.87</v>
      </c>
      <c r="AF28" s="26">
        <f>SUM(AF5:AF24)</f>
        <v>485125.4</v>
      </c>
      <c r="AG28" s="26">
        <f>SUM(AG5:AG24)</f>
        <v>25000</v>
      </c>
      <c r="AH28" s="41">
        <v>799682</v>
      </c>
      <c r="AI28" s="26">
        <f>SUM(AI5:AI24)</f>
        <v>175729</v>
      </c>
    </row>
  </sheetData>
  <mergeCells count="28">
    <mergeCell ref="A1:AI1"/>
    <mergeCell ref="A2:Y2"/>
    <mergeCell ref="AH2:AI2"/>
    <mergeCell ref="D3:E3"/>
    <mergeCell ref="G3:H3"/>
    <mergeCell ref="J3:K3"/>
    <mergeCell ref="M3:N3"/>
    <mergeCell ref="P3:Q3"/>
    <mergeCell ref="S3:T3"/>
    <mergeCell ref="V3:W3"/>
    <mergeCell ref="Y3:Z3"/>
    <mergeCell ref="AB3:AC3"/>
    <mergeCell ref="AH3:AI3"/>
    <mergeCell ref="A3:A4"/>
    <mergeCell ref="B3:B4"/>
    <mergeCell ref="C3:C4"/>
    <mergeCell ref="F3:F4"/>
    <mergeCell ref="I3:I4"/>
    <mergeCell ref="L3:L4"/>
    <mergeCell ref="O3:O4"/>
    <mergeCell ref="R3:R4"/>
    <mergeCell ref="U3:U4"/>
    <mergeCell ref="X3:X4"/>
    <mergeCell ref="AA3:AA4"/>
    <mergeCell ref="AD3:AD4"/>
    <mergeCell ref="AE3:AE4"/>
    <mergeCell ref="AF3:AF4"/>
    <mergeCell ref="AG3:AG4"/>
  </mergeCells>
  <pageMargins left="0.393055555555556" right="0.314583333333333" top="0.156944444444444" bottom="0.156944444444444" header="0.118055555555556" footer="0.118055555555556"/>
  <pageSetup paperSize="8" scale="87" firstPageNumber="7" orientation="landscape" useFirstPageNumber="1" horizontalDpi="600"/>
  <headerFooter>
    <oddFooter>&amp;C&amp;P</oddFooter>
    <firstFooter>&amp;L日&amp;C&amp;P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7"/>
  <sheetViews>
    <sheetView workbookViewId="0">
      <selection activeCell="A1" sqref="A1:AF1"/>
    </sheetView>
  </sheetViews>
  <sheetFormatPr defaultColWidth="9" defaultRowHeight="13.5"/>
  <cols>
    <col min="1" max="1" width="7.5" customWidth="1"/>
    <col min="2" max="2" width="14.625" customWidth="1"/>
    <col min="3" max="3" width="8" customWidth="1"/>
    <col min="4" max="4" width="8.625" customWidth="1"/>
    <col min="5" max="5" width="8.125" style="1" customWidth="1"/>
    <col min="6" max="6" width="0.25" hidden="1" customWidth="1"/>
    <col min="7" max="8" width="7" hidden="1" customWidth="1"/>
    <col min="9" max="11" width="7" customWidth="1"/>
    <col min="12" max="12" width="8.375" customWidth="1"/>
    <col min="13" max="13" width="8" customWidth="1"/>
    <col min="14" max="14" width="8.25" customWidth="1"/>
    <col min="15" max="15" width="6.5" customWidth="1"/>
    <col min="16" max="16" width="5.625" customWidth="1"/>
    <col min="17" max="17" width="5.75" customWidth="1"/>
    <col min="18" max="18" width="8.25" style="2" customWidth="1"/>
    <col min="19" max="19" width="8.375" style="2" customWidth="1"/>
    <col min="20" max="20" width="5.25" style="3" customWidth="1"/>
    <col min="21" max="22" width="7" customWidth="1"/>
    <col min="23" max="23" width="5.375" customWidth="1"/>
    <col min="24" max="24" width="7" customWidth="1"/>
    <col min="25" max="25" width="7.125" customWidth="1"/>
    <col min="26" max="26" width="5.625" customWidth="1"/>
    <col min="27" max="27" width="7.375" style="4" customWidth="1"/>
    <col min="28" max="28" width="0.125" hidden="1" customWidth="1"/>
    <col min="29" max="30" width="9" hidden="1" customWidth="1"/>
    <col min="31" max="31" width="7.5" style="5" customWidth="1"/>
    <col min="32" max="32" width="7" style="6" customWidth="1"/>
  </cols>
  <sheetData>
    <row r="1" ht="27" spans="1:32">
      <c r="A1" s="7" t="s">
        <v>195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8"/>
      <c r="Y2" s="28"/>
      <c r="Z2" s="28"/>
      <c r="AA2" s="31" t="s">
        <v>3</v>
      </c>
      <c r="AB2" s="31"/>
      <c r="AC2" s="31"/>
      <c r="AD2" s="31"/>
      <c r="AE2" s="31"/>
      <c r="AF2" s="31"/>
    </row>
    <row r="3" ht="48" customHeight="1" spans="1:32">
      <c r="A3" s="10" t="s">
        <v>155</v>
      </c>
      <c r="B3" s="10" t="s">
        <v>156</v>
      </c>
      <c r="C3" s="10" t="s">
        <v>157</v>
      </c>
      <c r="D3" s="11" t="s">
        <v>158</v>
      </c>
      <c r="E3" s="11"/>
      <c r="F3" s="10" t="s">
        <v>159</v>
      </c>
      <c r="G3" s="11" t="s">
        <v>158</v>
      </c>
      <c r="H3" s="11"/>
      <c r="I3" s="27" t="s">
        <v>196</v>
      </c>
      <c r="J3" s="11" t="s">
        <v>158</v>
      </c>
      <c r="K3" s="11"/>
      <c r="L3" s="10" t="s">
        <v>161</v>
      </c>
      <c r="M3" s="11" t="s">
        <v>158</v>
      </c>
      <c r="N3" s="11"/>
      <c r="O3" s="10" t="s">
        <v>162</v>
      </c>
      <c r="P3" s="11" t="s">
        <v>158</v>
      </c>
      <c r="Q3" s="11"/>
      <c r="R3" s="10" t="s">
        <v>197</v>
      </c>
      <c r="S3" s="11" t="s">
        <v>158</v>
      </c>
      <c r="T3" s="11"/>
      <c r="U3" s="10" t="s">
        <v>164</v>
      </c>
      <c r="V3" s="11" t="s">
        <v>158</v>
      </c>
      <c r="W3" s="11"/>
      <c r="X3" s="10" t="s">
        <v>166</v>
      </c>
      <c r="Y3" s="11" t="s">
        <v>158</v>
      </c>
      <c r="Z3" s="11"/>
      <c r="AA3" s="32" t="s">
        <v>167</v>
      </c>
      <c r="AB3" s="33" t="s">
        <v>168</v>
      </c>
      <c r="AC3" s="34" t="s">
        <v>169</v>
      </c>
      <c r="AD3" s="35" t="s">
        <v>170</v>
      </c>
      <c r="AE3" s="36" t="s">
        <v>158</v>
      </c>
      <c r="AF3" s="36"/>
    </row>
    <row r="4" ht="48" customHeight="1" spans="1:32">
      <c r="A4" s="10"/>
      <c r="B4" s="10"/>
      <c r="C4" s="10"/>
      <c r="D4" s="12" t="s">
        <v>13</v>
      </c>
      <c r="E4" s="13" t="s">
        <v>14</v>
      </c>
      <c r="F4" s="10"/>
      <c r="G4" s="12" t="s">
        <v>13</v>
      </c>
      <c r="H4" s="12" t="s">
        <v>14</v>
      </c>
      <c r="I4" s="27"/>
      <c r="J4" s="12" t="s">
        <v>13</v>
      </c>
      <c r="K4" s="12" t="s">
        <v>14</v>
      </c>
      <c r="L4" s="10"/>
      <c r="M4" s="12" t="s">
        <v>13</v>
      </c>
      <c r="N4" s="12" t="s">
        <v>14</v>
      </c>
      <c r="O4" s="10"/>
      <c r="P4" s="12" t="s">
        <v>13</v>
      </c>
      <c r="Q4" s="12" t="s">
        <v>14</v>
      </c>
      <c r="R4" s="10"/>
      <c r="S4" s="12" t="s">
        <v>13</v>
      </c>
      <c r="T4" s="12" t="s">
        <v>14</v>
      </c>
      <c r="U4" s="10"/>
      <c r="V4" s="12" t="s">
        <v>13</v>
      </c>
      <c r="W4" s="12" t="s">
        <v>14</v>
      </c>
      <c r="X4" s="10"/>
      <c r="Y4" s="12" t="s">
        <v>13</v>
      </c>
      <c r="Z4" s="12" t="s">
        <v>14</v>
      </c>
      <c r="AA4" s="32"/>
      <c r="AB4" s="33"/>
      <c r="AC4" s="35"/>
      <c r="AD4" s="35"/>
      <c r="AE4" s="37" t="s">
        <v>13</v>
      </c>
      <c r="AF4" s="38" t="s">
        <v>14</v>
      </c>
    </row>
    <row r="5" ht="45" customHeight="1" spans="1:32">
      <c r="A5" s="14">
        <v>206</v>
      </c>
      <c r="B5" s="15" t="s">
        <v>175</v>
      </c>
      <c r="C5" s="16">
        <f>D5+E5</f>
        <v>0</v>
      </c>
      <c r="D5" s="16"/>
      <c r="E5" s="17"/>
      <c r="F5" s="16">
        <f t="shared" ref="F5:F16" si="0">G5+H5</f>
        <v>0</v>
      </c>
      <c r="G5" s="16"/>
      <c r="H5" s="16"/>
      <c r="I5" s="16">
        <f>J5+K5</f>
        <v>0</v>
      </c>
      <c r="J5" s="16"/>
      <c r="K5" s="16"/>
      <c r="L5" s="16">
        <f t="shared" ref="L5:L16" si="1">M5+N5</f>
        <v>0</v>
      </c>
      <c r="M5" s="16"/>
      <c r="N5" s="16"/>
      <c r="O5" s="16">
        <f t="shared" ref="O5:O16" si="2">P5+Q5</f>
        <v>0</v>
      </c>
      <c r="P5" s="16"/>
      <c r="Q5" s="16"/>
      <c r="R5" s="16">
        <f t="shared" ref="R5:R16" si="3">S5+T5</f>
        <v>0</v>
      </c>
      <c r="S5" s="16"/>
      <c r="T5" s="29"/>
      <c r="U5" s="16">
        <f t="shared" ref="U5:U16" si="4">V5+W5</f>
        <v>0</v>
      </c>
      <c r="V5" s="16"/>
      <c r="W5" s="16"/>
      <c r="X5" s="16">
        <f t="shared" ref="X5:X16" si="5">Y5+Z5</f>
        <v>0</v>
      </c>
      <c r="Y5" s="16"/>
      <c r="Z5" s="16"/>
      <c r="AA5" s="16">
        <f>C5+I5+L5+O5+U5+X5</f>
        <v>0</v>
      </c>
      <c r="AB5" s="39"/>
      <c r="AC5" s="39"/>
      <c r="AD5" s="39"/>
      <c r="AE5" s="40">
        <f>D5+J5+M5+P5+S5+V5+Y5</f>
        <v>0</v>
      </c>
      <c r="AF5" s="40">
        <f t="shared" ref="AF5:AF8" si="6">E5+H5+N5+Q5+T5+W5+Z5</f>
        <v>0</v>
      </c>
    </row>
    <row r="6" ht="45" customHeight="1" spans="1:32">
      <c r="A6" s="18">
        <v>207</v>
      </c>
      <c r="B6" s="19" t="s">
        <v>176</v>
      </c>
      <c r="C6" s="20">
        <f>D6+E6</f>
        <v>0</v>
      </c>
      <c r="D6" s="20"/>
      <c r="E6" s="21"/>
      <c r="F6" s="20">
        <f t="shared" si="0"/>
        <v>0</v>
      </c>
      <c r="G6" s="20"/>
      <c r="H6" s="20"/>
      <c r="I6" s="20">
        <f t="shared" ref="I6:I16" si="7">J6+K6</f>
        <v>0</v>
      </c>
      <c r="J6" s="20"/>
      <c r="K6" s="20"/>
      <c r="L6" s="20">
        <f t="shared" si="1"/>
        <v>0</v>
      </c>
      <c r="M6" s="20"/>
      <c r="N6" s="20"/>
      <c r="O6" s="20">
        <f t="shared" si="2"/>
        <v>0</v>
      </c>
      <c r="P6" s="20"/>
      <c r="Q6" s="20"/>
      <c r="R6" s="20">
        <f t="shared" si="3"/>
        <v>0</v>
      </c>
      <c r="S6" s="20"/>
      <c r="T6" s="30"/>
      <c r="U6" s="20">
        <f t="shared" si="4"/>
        <v>0</v>
      </c>
      <c r="V6" s="20"/>
      <c r="W6" s="20"/>
      <c r="X6" s="20">
        <f t="shared" si="5"/>
        <v>0</v>
      </c>
      <c r="Y6" s="20"/>
      <c r="Z6" s="20"/>
      <c r="AA6" s="16">
        <f t="shared" ref="AA6:AA17" si="8">AE6+AF6</f>
        <v>0</v>
      </c>
      <c r="AB6" s="39"/>
      <c r="AC6" s="39"/>
      <c r="AD6" s="39"/>
      <c r="AE6" s="41">
        <f t="shared" ref="AE6:AE17" si="9">D6+J6+M6+P6+S6+V6+Y6</f>
        <v>0</v>
      </c>
      <c r="AF6" s="41">
        <f t="shared" si="6"/>
        <v>0</v>
      </c>
    </row>
    <row r="7" ht="45" customHeight="1" spans="1:32">
      <c r="A7" s="18">
        <v>208</v>
      </c>
      <c r="B7" s="19" t="s">
        <v>177</v>
      </c>
      <c r="C7" s="20">
        <f t="shared" ref="C7:C16" si="10">D7+E7</f>
        <v>1704.69</v>
      </c>
      <c r="D7" s="20">
        <v>1704.69</v>
      </c>
      <c r="E7" s="21"/>
      <c r="F7" s="20">
        <f t="shared" si="0"/>
        <v>0</v>
      </c>
      <c r="G7" s="20"/>
      <c r="H7" s="20"/>
      <c r="I7" s="20">
        <f t="shared" si="7"/>
        <v>232</v>
      </c>
      <c r="J7" s="20">
        <v>232</v>
      </c>
      <c r="K7" s="20"/>
      <c r="L7" s="20">
        <f t="shared" si="1"/>
        <v>0</v>
      </c>
      <c r="M7" s="20"/>
      <c r="N7" s="20"/>
      <c r="O7" s="20">
        <f t="shared" si="2"/>
        <v>0</v>
      </c>
      <c r="P7" s="20"/>
      <c r="Q7" s="20"/>
      <c r="R7" s="20">
        <f t="shared" si="3"/>
        <v>0</v>
      </c>
      <c r="S7" s="20"/>
      <c r="T7" s="30"/>
      <c r="U7" s="20">
        <f t="shared" si="4"/>
        <v>0</v>
      </c>
      <c r="V7" s="20"/>
      <c r="W7" s="20"/>
      <c r="X7" s="20">
        <f t="shared" si="5"/>
        <v>0</v>
      </c>
      <c r="Y7" s="20"/>
      <c r="Z7" s="20"/>
      <c r="AA7" s="16">
        <f t="shared" si="8"/>
        <v>1936.69</v>
      </c>
      <c r="AB7" s="39"/>
      <c r="AC7" s="39"/>
      <c r="AD7" s="39"/>
      <c r="AE7" s="41">
        <f t="shared" si="9"/>
        <v>1936.69</v>
      </c>
      <c r="AF7" s="41">
        <f t="shared" si="6"/>
        <v>0</v>
      </c>
    </row>
    <row r="8" ht="45" customHeight="1" spans="1:32">
      <c r="A8" s="18">
        <v>211</v>
      </c>
      <c r="B8" s="19" t="s">
        <v>179</v>
      </c>
      <c r="C8" s="20">
        <f t="shared" si="10"/>
        <v>0</v>
      </c>
      <c r="D8" s="20"/>
      <c r="E8" s="21"/>
      <c r="F8" s="20">
        <f t="shared" si="0"/>
        <v>0</v>
      </c>
      <c r="G8" s="20"/>
      <c r="H8" s="20"/>
      <c r="I8" s="20">
        <f t="shared" si="7"/>
        <v>0</v>
      </c>
      <c r="J8" s="20"/>
      <c r="K8" s="20"/>
      <c r="L8" s="20">
        <f t="shared" si="1"/>
        <v>0</v>
      </c>
      <c r="M8" s="20"/>
      <c r="N8" s="20"/>
      <c r="O8" s="20">
        <f t="shared" si="2"/>
        <v>0</v>
      </c>
      <c r="P8" s="20"/>
      <c r="Q8" s="20"/>
      <c r="R8" s="20">
        <f t="shared" si="3"/>
        <v>0</v>
      </c>
      <c r="S8" s="20"/>
      <c r="T8" s="30"/>
      <c r="U8" s="20">
        <f t="shared" si="4"/>
        <v>0</v>
      </c>
      <c r="V8" s="20"/>
      <c r="W8" s="20"/>
      <c r="X8" s="20">
        <f t="shared" si="5"/>
        <v>0</v>
      </c>
      <c r="Y8" s="20"/>
      <c r="Z8" s="20"/>
      <c r="AA8" s="16">
        <f t="shared" si="8"/>
        <v>0</v>
      </c>
      <c r="AB8" s="39"/>
      <c r="AC8" s="39"/>
      <c r="AD8" s="39"/>
      <c r="AE8" s="41">
        <f t="shared" si="9"/>
        <v>0</v>
      </c>
      <c r="AF8" s="41">
        <f t="shared" si="6"/>
        <v>0</v>
      </c>
    </row>
    <row r="9" ht="45" customHeight="1" spans="1:32">
      <c r="A9" s="18">
        <v>212</v>
      </c>
      <c r="B9" s="19" t="s">
        <v>180</v>
      </c>
      <c r="C9" s="20">
        <f t="shared" si="10"/>
        <v>1213473.71</v>
      </c>
      <c r="D9" s="20">
        <v>593473.71</v>
      </c>
      <c r="E9" s="21">
        <v>620000</v>
      </c>
      <c r="F9" s="20">
        <f t="shared" si="0"/>
        <v>0</v>
      </c>
      <c r="G9" s="20"/>
      <c r="H9" s="20"/>
      <c r="I9" s="20">
        <f t="shared" si="7"/>
        <v>85661</v>
      </c>
      <c r="J9" s="20">
        <v>25683</v>
      </c>
      <c r="K9" s="20">
        <v>59978</v>
      </c>
      <c r="L9" s="20">
        <f t="shared" si="1"/>
        <v>-271384</v>
      </c>
      <c r="M9" s="20">
        <v>-100000</v>
      </c>
      <c r="N9" s="20">
        <v>-171384</v>
      </c>
      <c r="O9" s="20">
        <f t="shared" si="2"/>
        <v>0</v>
      </c>
      <c r="P9" s="20"/>
      <c r="Q9" s="20"/>
      <c r="R9" s="20">
        <f t="shared" si="3"/>
        <v>-100000</v>
      </c>
      <c r="S9" s="20">
        <v>-100000</v>
      </c>
      <c r="T9" s="30"/>
      <c r="U9" s="20">
        <f t="shared" si="4"/>
        <v>50000</v>
      </c>
      <c r="V9" s="20">
        <v>50000</v>
      </c>
      <c r="W9" s="20"/>
      <c r="X9" s="20">
        <f t="shared" si="5"/>
        <v>-127</v>
      </c>
      <c r="Y9" s="20">
        <v>-127</v>
      </c>
      <c r="Z9" s="20"/>
      <c r="AA9" s="16">
        <f t="shared" si="8"/>
        <v>970123.71</v>
      </c>
      <c r="AB9" s="39"/>
      <c r="AC9" s="39"/>
      <c r="AD9" s="39"/>
      <c r="AE9" s="41">
        <f t="shared" si="9"/>
        <v>469029.71</v>
      </c>
      <c r="AF9" s="41">
        <v>501094</v>
      </c>
    </row>
    <row r="10" ht="45" customHeight="1" spans="1:32">
      <c r="A10" s="18">
        <v>213</v>
      </c>
      <c r="B10" s="19" t="s">
        <v>181</v>
      </c>
      <c r="C10" s="20">
        <f t="shared" si="10"/>
        <v>0</v>
      </c>
      <c r="D10" s="20"/>
      <c r="E10" s="21"/>
      <c r="F10" s="20">
        <f t="shared" si="0"/>
        <v>0</v>
      </c>
      <c r="G10" s="20"/>
      <c r="H10" s="20"/>
      <c r="I10" s="20">
        <f t="shared" si="7"/>
        <v>0</v>
      </c>
      <c r="J10" s="20"/>
      <c r="K10" s="20"/>
      <c r="L10" s="20">
        <f t="shared" si="1"/>
        <v>0</v>
      </c>
      <c r="M10" s="20"/>
      <c r="N10" s="20"/>
      <c r="O10" s="20">
        <f t="shared" si="2"/>
        <v>0</v>
      </c>
      <c r="P10" s="20"/>
      <c r="Q10" s="20"/>
      <c r="R10" s="20">
        <f t="shared" si="3"/>
        <v>0</v>
      </c>
      <c r="S10" s="20"/>
      <c r="T10" s="30"/>
      <c r="U10" s="20">
        <f t="shared" si="4"/>
        <v>0</v>
      </c>
      <c r="V10" s="20"/>
      <c r="W10" s="20"/>
      <c r="X10" s="20">
        <f t="shared" si="5"/>
        <v>0</v>
      </c>
      <c r="Y10" s="20"/>
      <c r="Z10" s="20"/>
      <c r="AA10" s="16">
        <f t="shared" si="8"/>
        <v>0</v>
      </c>
      <c r="AB10" s="39"/>
      <c r="AC10" s="39"/>
      <c r="AD10" s="39"/>
      <c r="AE10" s="41">
        <f t="shared" si="9"/>
        <v>0</v>
      </c>
      <c r="AF10" s="41">
        <f>E10+H10+N10+Q10+T10+W10+Z10</f>
        <v>0</v>
      </c>
    </row>
    <row r="11" ht="45" customHeight="1" spans="1:32">
      <c r="A11" s="18">
        <v>214</v>
      </c>
      <c r="B11" s="19" t="s">
        <v>182</v>
      </c>
      <c r="C11" s="20">
        <f t="shared" si="10"/>
        <v>0</v>
      </c>
      <c r="D11" s="20"/>
      <c r="E11" s="21"/>
      <c r="F11" s="20">
        <f t="shared" si="0"/>
        <v>0</v>
      </c>
      <c r="G11" s="20"/>
      <c r="H11" s="20"/>
      <c r="I11" s="20">
        <f t="shared" si="7"/>
        <v>0</v>
      </c>
      <c r="J11" s="20"/>
      <c r="K11" s="20"/>
      <c r="L11" s="20">
        <f t="shared" si="1"/>
        <v>0</v>
      </c>
      <c r="M11" s="20"/>
      <c r="N11" s="20"/>
      <c r="O11" s="20">
        <f t="shared" si="2"/>
        <v>0</v>
      </c>
      <c r="P11" s="20"/>
      <c r="Q11" s="20"/>
      <c r="R11" s="20">
        <f t="shared" si="3"/>
        <v>0</v>
      </c>
      <c r="S11" s="20"/>
      <c r="T11" s="30"/>
      <c r="U11" s="20">
        <f t="shared" si="4"/>
        <v>0</v>
      </c>
      <c r="V11" s="20"/>
      <c r="W11" s="20"/>
      <c r="X11" s="20">
        <f t="shared" si="5"/>
        <v>0</v>
      </c>
      <c r="Y11" s="20"/>
      <c r="Z11" s="20"/>
      <c r="AA11" s="16">
        <f t="shared" si="8"/>
        <v>0</v>
      </c>
      <c r="AB11" s="39"/>
      <c r="AC11" s="39"/>
      <c r="AD11" s="39"/>
      <c r="AE11" s="41">
        <f t="shared" si="9"/>
        <v>0</v>
      </c>
      <c r="AF11" s="41">
        <f>E11+H11+N11+Q11+T11+W11+Z11</f>
        <v>0</v>
      </c>
    </row>
    <row r="12" ht="45" customHeight="1" spans="1:32">
      <c r="A12" s="18">
        <v>215</v>
      </c>
      <c r="B12" s="19" t="s">
        <v>183</v>
      </c>
      <c r="C12" s="20">
        <f t="shared" si="10"/>
        <v>0</v>
      </c>
      <c r="D12" s="20"/>
      <c r="E12" s="21"/>
      <c r="F12" s="20">
        <f t="shared" si="0"/>
        <v>0</v>
      </c>
      <c r="G12" s="20"/>
      <c r="H12" s="20"/>
      <c r="I12" s="20">
        <f t="shared" si="7"/>
        <v>0</v>
      </c>
      <c r="J12" s="20"/>
      <c r="K12" s="20"/>
      <c r="L12" s="20">
        <f t="shared" si="1"/>
        <v>0</v>
      </c>
      <c r="M12" s="20"/>
      <c r="N12" s="20"/>
      <c r="O12" s="20">
        <f t="shared" si="2"/>
        <v>0</v>
      </c>
      <c r="P12" s="20"/>
      <c r="Q12" s="20"/>
      <c r="R12" s="20">
        <f t="shared" si="3"/>
        <v>0</v>
      </c>
      <c r="S12" s="20"/>
      <c r="T12" s="30"/>
      <c r="U12" s="20">
        <f t="shared" si="4"/>
        <v>0</v>
      </c>
      <c r="V12" s="20"/>
      <c r="W12" s="20"/>
      <c r="X12" s="20">
        <f t="shared" si="5"/>
        <v>0</v>
      </c>
      <c r="Y12" s="20"/>
      <c r="Z12" s="20"/>
      <c r="AA12" s="16">
        <f t="shared" si="8"/>
        <v>0</v>
      </c>
      <c r="AB12" s="39"/>
      <c r="AC12" s="39"/>
      <c r="AD12" s="39"/>
      <c r="AE12" s="41">
        <f t="shared" si="9"/>
        <v>0</v>
      </c>
      <c r="AF12" s="41">
        <f>E12+H12+N12+Q12+T12+W12+Z12</f>
        <v>0</v>
      </c>
    </row>
    <row r="13" ht="45" customHeight="1" spans="1:32">
      <c r="A13" s="18">
        <v>229</v>
      </c>
      <c r="B13" s="22" t="s">
        <v>190</v>
      </c>
      <c r="C13" s="20">
        <f t="shared" si="10"/>
        <v>981.5</v>
      </c>
      <c r="D13" s="20">
        <v>981.5</v>
      </c>
      <c r="E13" s="21"/>
      <c r="F13" s="20">
        <f t="shared" si="0"/>
        <v>0</v>
      </c>
      <c r="G13" s="20"/>
      <c r="H13" s="20"/>
      <c r="I13" s="20">
        <f t="shared" si="7"/>
        <v>1487</v>
      </c>
      <c r="J13" s="20">
        <v>1487</v>
      </c>
      <c r="K13" s="20"/>
      <c r="L13" s="20">
        <f t="shared" si="1"/>
        <v>0</v>
      </c>
      <c r="M13" s="20"/>
      <c r="N13" s="20"/>
      <c r="O13" s="20">
        <f t="shared" si="2"/>
        <v>0</v>
      </c>
      <c r="P13" s="20"/>
      <c r="Q13" s="20"/>
      <c r="R13" s="20">
        <f t="shared" si="3"/>
        <v>0</v>
      </c>
      <c r="S13" s="20"/>
      <c r="T13" s="30"/>
      <c r="U13" s="20">
        <f t="shared" si="4"/>
        <v>0</v>
      </c>
      <c r="V13" s="20"/>
      <c r="W13" s="20"/>
      <c r="X13" s="20">
        <f t="shared" si="5"/>
        <v>72</v>
      </c>
      <c r="Y13" s="20">
        <v>72</v>
      </c>
      <c r="Z13" s="20"/>
      <c r="AA13" s="16">
        <f t="shared" si="8"/>
        <v>2540.5</v>
      </c>
      <c r="AB13" s="39"/>
      <c r="AC13" s="39"/>
      <c r="AD13" s="39"/>
      <c r="AE13" s="41">
        <f t="shared" si="9"/>
        <v>2540.5</v>
      </c>
      <c r="AF13" s="41">
        <f>E13+H13+N13+Q13+T13+W13+Z13</f>
        <v>0</v>
      </c>
    </row>
    <row r="14" ht="45" customHeight="1" spans="1:32">
      <c r="A14" s="18">
        <v>231</v>
      </c>
      <c r="B14" s="23" t="s">
        <v>191</v>
      </c>
      <c r="C14" s="20">
        <f t="shared" si="10"/>
        <v>0</v>
      </c>
      <c r="D14" s="20"/>
      <c r="E14" s="21"/>
      <c r="F14" s="20">
        <f t="shared" si="0"/>
        <v>0</v>
      </c>
      <c r="G14" s="20"/>
      <c r="H14" s="20"/>
      <c r="I14" s="20">
        <f t="shared" si="7"/>
        <v>0</v>
      </c>
      <c r="J14" s="20"/>
      <c r="K14" s="20"/>
      <c r="L14" s="20">
        <f t="shared" si="1"/>
        <v>0</v>
      </c>
      <c r="M14" s="20"/>
      <c r="N14" s="20"/>
      <c r="O14" s="20">
        <f t="shared" si="2"/>
        <v>0</v>
      </c>
      <c r="P14" s="20"/>
      <c r="Q14" s="20"/>
      <c r="R14" s="20">
        <f t="shared" si="3"/>
        <v>0</v>
      </c>
      <c r="S14" s="20"/>
      <c r="T14" s="30"/>
      <c r="U14" s="20">
        <f t="shared" si="4"/>
        <v>0</v>
      </c>
      <c r="V14" s="20"/>
      <c r="W14" s="20"/>
      <c r="X14" s="20">
        <f t="shared" si="5"/>
        <v>0</v>
      </c>
      <c r="Y14" s="20"/>
      <c r="Z14" s="20"/>
      <c r="AA14" s="16">
        <f t="shared" si="8"/>
        <v>0</v>
      </c>
      <c r="AB14" s="39"/>
      <c r="AC14" s="39"/>
      <c r="AD14" s="39"/>
      <c r="AE14" s="41">
        <f t="shared" si="9"/>
        <v>0</v>
      </c>
      <c r="AF14" s="41">
        <f>E14+H14+N14+Q14+T14+W14+Z14</f>
        <v>0</v>
      </c>
    </row>
    <row r="15" ht="45" customHeight="1" spans="1:32">
      <c r="A15" s="18">
        <v>232</v>
      </c>
      <c r="B15" s="23" t="s">
        <v>192</v>
      </c>
      <c r="C15" s="20">
        <f t="shared" si="10"/>
        <v>3840.1</v>
      </c>
      <c r="D15" s="20">
        <v>3840.1</v>
      </c>
      <c r="E15" s="21"/>
      <c r="F15" s="20">
        <f t="shared" si="0"/>
        <v>0</v>
      </c>
      <c r="G15" s="20"/>
      <c r="H15" s="20"/>
      <c r="I15" s="20">
        <f t="shared" si="7"/>
        <v>7500</v>
      </c>
      <c r="J15" s="20"/>
      <c r="K15" s="20">
        <v>7500</v>
      </c>
      <c r="L15" s="20">
        <f t="shared" si="1"/>
        <v>0</v>
      </c>
      <c r="M15" s="20"/>
      <c r="N15" s="20"/>
      <c r="O15" s="20">
        <f t="shared" si="2"/>
        <v>0</v>
      </c>
      <c r="P15" s="20"/>
      <c r="Q15" s="20"/>
      <c r="R15" s="20">
        <f t="shared" si="3"/>
        <v>0</v>
      </c>
      <c r="S15" s="20"/>
      <c r="T15" s="30"/>
      <c r="U15" s="20">
        <f t="shared" si="4"/>
        <v>0</v>
      </c>
      <c r="V15" s="20"/>
      <c r="W15" s="20"/>
      <c r="X15" s="20">
        <f t="shared" si="5"/>
        <v>0</v>
      </c>
      <c r="Y15" s="20"/>
      <c r="Z15" s="20"/>
      <c r="AA15" s="16">
        <f t="shared" si="8"/>
        <v>11340.1</v>
      </c>
      <c r="AB15" s="39"/>
      <c r="AC15" s="39"/>
      <c r="AD15" s="39"/>
      <c r="AE15" s="41">
        <f t="shared" si="9"/>
        <v>3840.1</v>
      </c>
      <c r="AF15" s="41">
        <v>7500</v>
      </c>
    </row>
    <row r="16" ht="45" customHeight="1" spans="1:32">
      <c r="A16" s="18">
        <v>233</v>
      </c>
      <c r="B16" s="19" t="s">
        <v>193</v>
      </c>
      <c r="C16" s="20">
        <f t="shared" si="10"/>
        <v>0</v>
      </c>
      <c r="D16" s="20"/>
      <c r="E16" s="21"/>
      <c r="F16" s="20">
        <f t="shared" si="0"/>
        <v>0</v>
      </c>
      <c r="G16" s="20"/>
      <c r="H16" s="20"/>
      <c r="I16" s="20">
        <f t="shared" si="7"/>
        <v>0</v>
      </c>
      <c r="J16" s="20"/>
      <c r="K16" s="20"/>
      <c r="L16" s="20">
        <f t="shared" si="1"/>
        <v>0</v>
      </c>
      <c r="M16" s="20"/>
      <c r="N16" s="20"/>
      <c r="O16" s="20">
        <f t="shared" si="2"/>
        <v>0</v>
      </c>
      <c r="P16" s="20"/>
      <c r="Q16" s="20"/>
      <c r="R16" s="20">
        <f t="shared" si="3"/>
        <v>0</v>
      </c>
      <c r="S16" s="20"/>
      <c r="T16" s="30"/>
      <c r="U16" s="20">
        <f t="shared" si="4"/>
        <v>0</v>
      </c>
      <c r="V16" s="20"/>
      <c r="W16" s="20"/>
      <c r="X16" s="20">
        <f t="shared" si="5"/>
        <v>55</v>
      </c>
      <c r="Y16" s="20">
        <v>55</v>
      </c>
      <c r="Z16" s="20"/>
      <c r="AA16" s="16">
        <f t="shared" si="8"/>
        <v>55</v>
      </c>
      <c r="AB16" s="39"/>
      <c r="AC16" s="39"/>
      <c r="AD16" s="39"/>
      <c r="AE16" s="41">
        <f t="shared" si="9"/>
        <v>55</v>
      </c>
      <c r="AF16" s="41">
        <f>E16+H16+N16+Q16+T16+W16+Z16</f>
        <v>0</v>
      </c>
    </row>
    <row r="17" ht="37.5" customHeight="1" spans="1:32">
      <c r="A17" s="24"/>
      <c r="B17" s="25" t="s">
        <v>194</v>
      </c>
      <c r="C17" s="26">
        <f>SUM(C5:C16)</f>
        <v>1220000</v>
      </c>
      <c r="D17" s="26">
        <f t="shared" ref="D17:AF17" si="11">SUM(D5:D16)</f>
        <v>600000</v>
      </c>
      <c r="E17" s="26">
        <f t="shared" si="11"/>
        <v>620000</v>
      </c>
      <c r="F17" s="26">
        <f t="shared" si="11"/>
        <v>0</v>
      </c>
      <c r="G17" s="26">
        <f t="shared" si="11"/>
        <v>0</v>
      </c>
      <c r="H17" s="26">
        <f t="shared" si="11"/>
        <v>0</v>
      </c>
      <c r="I17" s="26">
        <f t="shared" si="11"/>
        <v>94880</v>
      </c>
      <c r="J17" s="26">
        <f t="shared" si="11"/>
        <v>27402</v>
      </c>
      <c r="K17" s="26">
        <f t="shared" si="11"/>
        <v>67478</v>
      </c>
      <c r="L17" s="26">
        <f t="shared" si="11"/>
        <v>-271384</v>
      </c>
      <c r="M17" s="26">
        <f t="shared" si="11"/>
        <v>-100000</v>
      </c>
      <c r="N17" s="26">
        <f t="shared" si="11"/>
        <v>-171384</v>
      </c>
      <c r="O17" s="26">
        <f t="shared" si="11"/>
        <v>0</v>
      </c>
      <c r="P17" s="26">
        <f t="shared" si="11"/>
        <v>0</v>
      </c>
      <c r="Q17" s="26">
        <f t="shared" si="11"/>
        <v>0</v>
      </c>
      <c r="R17" s="26">
        <f t="shared" si="11"/>
        <v>-100000</v>
      </c>
      <c r="S17" s="26">
        <f t="shared" si="11"/>
        <v>-100000</v>
      </c>
      <c r="T17" s="26">
        <f t="shared" si="11"/>
        <v>0</v>
      </c>
      <c r="U17" s="26">
        <f t="shared" si="11"/>
        <v>50000</v>
      </c>
      <c r="V17" s="26">
        <f t="shared" si="11"/>
        <v>50000</v>
      </c>
      <c r="W17" s="26">
        <f t="shared" si="11"/>
        <v>0</v>
      </c>
      <c r="X17" s="26">
        <f t="shared" si="11"/>
        <v>0</v>
      </c>
      <c r="Y17" s="26">
        <f t="shared" si="11"/>
        <v>0</v>
      </c>
      <c r="Z17" s="26">
        <f t="shared" si="11"/>
        <v>0</v>
      </c>
      <c r="AA17" s="26">
        <f t="shared" si="11"/>
        <v>985996</v>
      </c>
      <c r="AB17" s="26">
        <f t="shared" si="11"/>
        <v>0</v>
      </c>
      <c r="AC17" s="26">
        <f t="shared" si="11"/>
        <v>0</v>
      </c>
      <c r="AD17" s="26">
        <f t="shared" si="11"/>
        <v>0</v>
      </c>
      <c r="AE17" s="26">
        <f t="shared" si="11"/>
        <v>477402</v>
      </c>
      <c r="AF17" s="26">
        <f t="shared" si="11"/>
        <v>508594</v>
      </c>
    </row>
  </sheetData>
  <mergeCells count="26">
    <mergeCell ref="A1:AF1"/>
    <mergeCell ref="A2:W2"/>
    <mergeCell ref="AA2:AF2"/>
    <mergeCell ref="D3:E3"/>
    <mergeCell ref="G3:H3"/>
    <mergeCell ref="J3:K3"/>
    <mergeCell ref="M3:N3"/>
    <mergeCell ref="P3:Q3"/>
    <mergeCell ref="S3:T3"/>
    <mergeCell ref="V3:W3"/>
    <mergeCell ref="Y3:Z3"/>
    <mergeCell ref="AE3:AF3"/>
    <mergeCell ref="A3:A4"/>
    <mergeCell ref="B3:B4"/>
    <mergeCell ref="C3:C4"/>
    <mergeCell ref="F3:F4"/>
    <mergeCell ref="I3:I4"/>
    <mergeCell ref="L3:L4"/>
    <mergeCell ref="O3:O4"/>
    <mergeCell ref="R3:R4"/>
    <mergeCell ref="U3:U4"/>
    <mergeCell ref="X3:X4"/>
    <mergeCell ref="AA3:AA4"/>
    <mergeCell ref="AB3:AB4"/>
    <mergeCell ref="AC3:AC4"/>
    <mergeCell ref="AD3:AD4"/>
  </mergeCells>
  <pageMargins left="0.393055555555556" right="0.314583333333333" top="0.156944444444444" bottom="0.156944444444444" header="0.118055555555556" footer="0.118055555555556"/>
  <pageSetup paperSize="9" scale="74" firstPageNumber="7" orientation="landscape" useFirstPageNumber="1" horizontalDpi="600"/>
  <headerFooter>
    <oddFooter>&amp;C&amp;P</oddFooter>
    <firstFooter>&amp;L日&amp;C&amp;P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附表1收入调整表2019</vt:lpstr>
      <vt:lpstr>附表2财力调整表2019</vt:lpstr>
      <vt:lpstr>附表3公共预算支出调整表</vt:lpstr>
      <vt:lpstr>附表4政府性基金支出调整表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qyh2015</dc:creator>
  <cp:lastModifiedBy>ih</cp:lastModifiedBy>
  <dcterms:created xsi:type="dcterms:W3CDTF">2016-10-31T06:35:00Z</dcterms:created>
  <cp:lastPrinted>2019-12-03T01:34:00Z</cp:lastPrinted>
  <dcterms:modified xsi:type="dcterms:W3CDTF">2023-05-11T13:42:42Z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2052-11.8.2.11019</vt:lpwstr>
  </property>
  <property fmtid="{D5CDD505-2E9C-101B-9397-08002B2CF9AE}" pid="4" name="KSOReadingLayout">
    <vt:bool>false</vt:bool>
  </property>
  <property fmtid="{D5CDD505-2E9C-101B-9397-08002B2CF9AE}" pid="5" name="ICV">
    <vt:lpwstr>637439665E01420FA8AE32681E93D73B_12</vt:lpwstr>
  </property>
</Properties>
</file>