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801" activeTab="3"/>
  </bookViews>
  <sheets>
    <sheet name="附表1收入调整表2021" sheetId="14" r:id="rId1"/>
    <sheet name="附表2财力调整表2021" sheetId="13" r:id="rId2"/>
    <sheet name="附表3公共预算支出调整表" sheetId="15" r:id="rId3"/>
    <sheet name="附表4政府性基金支出调整表" sheetId="16" r:id="rId4"/>
  </sheets>
  <definedNames>
    <definedName name="_xlnm.Print_Titles" localSheetId="0">附表1收入调整表2021!$1:$4</definedName>
    <definedName name="_xlnm.Print_Titles" localSheetId="1">附表2财力调整表2021!$1:$4</definedName>
    <definedName name="_xlnm.Print_Area" localSheetId="0">附表1收入调整表2021!$A$1:$M$61</definedName>
    <definedName name="_xlnm.Print_Area" localSheetId="2">附表3公共预算支出调整表!$A$1:$AF$30</definedName>
    <definedName name="_xlnm.Print_Area" localSheetId="3">附表4政府性基金支出调整表!$A$1:$AF$17</definedName>
  </definedNames>
  <calcPr calcId="144525"/>
</workbook>
</file>

<file path=xl/comments1.xml><?xml version="1.0" encoding="utf-8"?>
<comments xmlns="http://schemas.openxmlformats.org/spreadsheetml/2006/main">
  <authors>
    <author>ih</author>
  </authors>
  <commentList>
    <comment ref="F54" authorId="0">
      <text>
        <r>
          <rPr>
            <b/>
            <sz val="9"/>
            <rFont val="宋体"/>
            <charset val="134"/>
          </rPr>
          <t>ih:</t>
        </r>
        <r>
          <rPr>
            <sz val="9"/>
            <rFont val="宋体"/>
            <charset val="134"/>
          </rPr>
          <t xml:space="preserve">
《关于上划各县（市）区生态环境局相关经费支出基数的通知》（榕财预〔2019〕82号）3514万元</t>
        </r>
      </text>
    </comment>
    <comment ref="F76" authorId="0">
      <text>
        <r>
          <rPr>
            <b/>
            <sz val="9"/>
            <rFont val="宋体"/>
            <charset val="134"/>
          </rPr>
          <t>ih:</t>
        </r>
        <r>
          <rPr>
            <sz val="9"/>
            <rFont val="宋体"/>
            <charset val="134"/>
          </rPr>
          <t xml:space="preserve">
外债419328
</t>
        </r>
      </text>
    </comment>
  </commentList>
</comments>
</file>

<file path=xl/sharedStrings.xml><?xml version="1.0" encoding="utf-8"?>
<sst xmlns="http://schemas.openxmlformats.org/spreadsheetml/2006/main" count="343" uniqueCount="195">
  <si>
    <t>附表1：2021年分部门分税种财政收入预算调整情况表</t>
  </si>
  <si>
    <t>编制单位：闽侯县财政局</t>
  </si>
  <si>
    <t>编制日期：2021年12月</t>
  </si>
  <si>
    <t>单位：万元</t>
  </si>
  <si>
    <t>征收部门</t>
  </si>
  <si>
    <t>2021人大年初任务数</t>
  </si>
  <si>
    <t>2021年预计完成数</t>
  </si>
  <si>
    <t>增减额</t>
  </si>
  <si>
    <t>增幅%</t>
  </si>
  <si>
    <t>小计</t>
  </si>
  <si>
    <t>闽侯县</t>
  </si>
  <si>
    <t>高新区</t>
  </si>
  <si>
    <t>一、财政总收入(含基金)</t>
  </si>
  <si>
    <t>（一）一般公共预算总收入</t>
  </si>
  <si>
    <t>1、上划中央收入</t>
  </si>
  <si>
    <t>2、一般公共预算收入</t>
  </si>
  <si>
    <t>（1）税收收入</t>
  </si>
  <si>
    <t>（2）非税收入</t>
  </si>
  <si>
    <t>（二）基金收入</t>
  </si>
  <si>
    <t>二、税务局组织收入</t>
  </si>
  <si>
    <t>（一）增值税</t>
  </si>
  <si>
    <t>其中：国内增值税</t>
  </si>
  <si>
    <t xml:space="preserve">      改征增值税</t>
  </si>
  <si>
    <t xml:space="preserve">      东南汽车</t>
  </si>
  <si>
    <t xml:space="preserve">      奔驰汽车</t>
  </si>
  <si>
    <t>（二）消费税</t>
  </si>
  <si>
    <t>（四）企业所得税</t>
  </si>
  <si>
    <t>（五）个人所得税</t>
  </si>
  <si>
    <t>（六）资源税</t>
  </si>
  <si>
    <t>（七）城市维护建设税</t>
  </si>
  <si>
    <t>（八）房产税</t>
  </si>
  <si>
    <t>（九）印花税</t>
  </si>
  <si>
    <t>（十）城镇土地使用税</t>
  </si>
  <si>
    <t>（十一）土地增值税</t>
  </si>
  <si>
    <t>（十二）车船税</t>
  </si>
  <si>
    <t>（十三）耕地占用税</t>
  </si>
  <si>
    <t>（十四）契税</t>
  </si>
  <si>
    <t>(十五）环境保护税</t>
  </si>
  <si>
    <t>（十六）车辆购置税</t>
  </si>
  <si>
    <t>三、财政局组织收入</t>
  </si>
  <si>
    <t>（一）行政性事业性收费收入</t>
  </si>
  <si>
    <t>（二）罚没收入</t>
  </si>
  <si>
    <t>（三）专项收入</t>
  </si>
  <si>
    <t xml:space="preserve"> 其中： 教育费附加收入</t>
  </si>
  <si>
    <t xml:space="preserve">      残疾人就业保障金收入</t>
  </si>
  <si>
    <t xml:space="preserve">     教育资金收入</t>
  </si>
  <si>
    <t xml:space="preserve">     农田水利建设资金收入</t>
  </si>
  <si>
    <t xml:space="preserve">     森林植被恢复费收入</t>
  </si>
  <si>
    <t xml:space="preserve">     水利建设专项收入</t>
  </si>
  <si>
    <t xml:space="preserve">    其他专项收入</t>
  </si>
  <si>
    <t>（四）国有资本经营收入</t>
  </si>
  <si>
    <t>（五）国有资源（资产）有偿使用收入</t>
  </si>
  <si>
    <t xml:space="preserve"> (六) 捐赠收入</t>
  </si>
  <si>
    <t xml:space="preserve"> (七） 政府住房基金收入</t>
  </si>
  <si>
    <t>（八）其他收入</t>
  </si>
  <si>
    <t>四、其它增值税退税</t>
  </si>
  <si>
    <t>五、基金收入</t>
  </si>
  <si>
    <t>（一）土地基金收入</t>
  </si>
  <si>
    <t xml:space="preserve">    1、国有土地使用权出让收入</t>
  </si>
  <si>
    <t xml:space="preserve">    2、国有土地基金收益收入</t>
  </si>
  <si>
    <t xml:space="preserve">    3、农业土地开发资金收入</t>
  </si>
  <si>
    <t>（二）其他基金收入</t>
  </si>
  <si>
    <t xml:space="preserve">    1、城市基础设施配套费收入</t>
  </si>
  <si>
    <t xml:space="preserve">    2、彩票公益金收入</t>
  </si>
  <si>
    <t xml:space="preserve">   3、污水处理费收入</t>
  </si>
  <si>
    <t>附表2：2021年一般公共预算财力情况调整表</t>
  </si>
  <si>
    <t xml:space="preserve">编制单位：闽侯县财政局   </t>
  </si>
  <si>
    <t>项目</t>
  </si>
  <si>
    <t>2021年计划数</t>
  </si>
  <si>
    <t>比年初计划增减数</t>
  </si>
  <si>
    <t>预计完成率</t>
  </si>
  <si>
    <t>财力性质</t>
  </si>
  <si>
    <t>一、一般公共预算收入</t>
  </si>
  <si>
    <t>二、上级补助收入</t>
  </si>
  <si>
    <t>（一）返还性收入</t>
  </si>
  <si>
    <t xml:space="preserve">   1、增值税和消费税税收返还收入</t>
  </si>
  <si>
    <t>财力</t>
  </si>
  <si>
    <t xml:space="preserve">   2、所得税基数返还收入</t>
  </si>
  <si>
    <t xml:space="preserve">   3、成品油价格和税费改革税收返还收入</t>
  </si>
  <si>
    <t xml:space="preserve">   4、增值税“五五分享”税收返还</t>
  </si>
  <si>
    <t>（二）一般性转移支付补助收入</t>
  </si>
  <si>
    <t>1、体制补助收入</t>
  </si>
  <si>
    <t>2、均衡性转移支付收入</t>
  </si>
  <si>
    <t xml:space="preserve"> （1）调整工资转移支付收入</t>
  </si>
  <si>
    <t xml:space="preserve"> （2）县乡中小学教师津补贴转移支付</t>
  </si>
  <si>
    <t xml:space="preserve"> （3）机关事业单位调整工资和养老保险制度改革转移支付资金</t>
  </si>
  <si>
    <t xml:space="preserve"> （4）农业转移人口市民化奖励资金</t>
  </si>
  <si>
    <t>3、县级基本财力保障机制奖补资金收入</t>
  </si>
  <si>
    <t xml:space="preserve"> （1）原“六挂六奖”补助基数（闽财预［2014］40号）</t>
  </si>
  <si>
    <t xml:space="preserve"> （2）省对市县财政下移财力及加强绩效管理奖励</t>
  </si>
  <si>
    <t>4、结算补助收入</t>
  </si>
  <si>
    <t xml:space="preserve"> （1）县（市）烟草公司收入转移补助</t>
  </si>
  <si>
    <t xml:space="preserve"> （2）公共体育场馆、博物馆、纪念馆等免费开放补助资金</t>
  </si>
  <si>
    <t>专项</t>
  </si>
  <si>
    <t xml:space="preserve"> （3）提高村主干及两委成员报酬市级补助</t>
  </si>
  <si>
    <t xml:space="preserve"> （4）生态保护转移支付资金(榕财预指201910号)</t>
  </si>
  <si>
    <t xml:space="preserve"> （5）村干部基本报酬保障奖励资金</t>
  </si>
  <si>
    <t xml:space="preserve"> （6）其他结算补助转移支付资金</t>
  </si>
  <si>
    <t>5、革命老区及民族和边境地区转移支付</t>
  </si>
  <si>
    <t>6.贫困地区转移支付收入</t>
  </si>
  <si>
    <t>7、一般公共服务共同财政事权转移支付收入</t>
  </si>
  <si>
    <t>8、公共安全共同财政事权转移支付收入</t>
  </si>
  <si>
    <t>9、教育共同财政事权转移支付收入</t>
  </si>
  <si>
    <t>10、科学技术共同财政事权转移支付收入</t>
  </si>
  <si>
    <t>11、文化旅游体育与传媒共同财政事权转移支付收入</t>
  </si>
  <si>
    <t>12、社会保障和就业共同财政事权转移支付收入</t>
  </si>
  <si>
    <t>13、卫生健康共同财政事权转移支付收入</t>
  </si>
  <si>
    <t>14、节能环保共同财政事权转移支付收入</t>
  </si>
  <si>
    <t>15、农林水共同财政事权转移支付收入</t>
  </si>
  <si>
    <t>16、交通运输共同财政事权转移支付收入</t>
  </si>
  <si>
    <t>17、自然资源海洋气象等共同财政事权转移支付收入</t>
  </si>
  <si>
    <t>18、住房保障共同财政事权转移支付收入</t>
  </si>
  <si>
    <t>19、粮油物资储备共同财政事权转移支付收入</t>
  </si>
  <si>
    <t>20、其他一般性转移支付收入</t>
  </si>
  <si>
    <t xml:space="preserve">      村级组织运转经费</t>
  </si>
  <si>
    <t xml:space="preserve">      生猪调出大县奖励资金</t>
  </si>
  <si>
    <t xml:space="preserve">      农村公益电影场次补贴</t>
  </si>
  <si>
    <t xml:space="preserve">      社区居委会运转补助</t>
  </si>
  <si>
    <t xml:space="preserve">      农村税费改革转移支付</t>
  </si>
  <si>
    <t xml:space="preserve">      国有农场农村税费改革转移支付</t>
  </si>
  <si>
    <t xml:space="preserve">      农村“五大员”、计生协会长、妇代会主任、团支部书记津贴转移支付</t>
  </si>
  <si>
    <t xml:space="preserve">      其他一般性转移支付收入</t>
  </si>
  <si>
    <t>三、上解省市支出</t>
  </si>
  <si>
    <t>（一）体制上解</t>
  </si>
  <si>
    <t>（二）专项上解</t>
  </si>
  <si>
    <t>(1)上解津补贴调节基金</t>
  </si>
  <si>
    <t>(2)福州市对口帮扶困难县</t>
  </si>
  <si>
    <t>(3)重点流域水环境综合整治资金专项上解</t>
  </si>
  <si>
    <t>(4)江河下游对上游地区森林生态效益补偿上解</t>
  </si>
  <si>
    <t>(5)中央、省财政统筹计提农田水利建设资金</t>
  </si>
  <si>
    <t>(6)福州市对口援藏资金（榕财建 2021 137号）</t>
  </si>
  <si>
    <t>(7)上解精准扶贫医疗叠加保险资金</t>
  </si>
  <si>
    <t>(8)福州市对口援疆资金（榕财建2021 142号）</t>
  </si>
  <si>
    <t>(9)农村商信用社企业所得税省级分成部分上解（20%）</t>
  </si>
  <si>
    <t>（10）东南汽车增值税50%地方级部份上解（省37.573%，市8.192%，合计45.765%）</t>
  </si>
  <si>
    <t>（11）部分政法行政性收费和罚没收入上解</t>
  </si>
  <si>
    <t>（12）城市商业银行企业所得税省级分成部分上解</t>
  </si>
  <si>
    <t>（13）迁入企业税收基数划转</t>
  </si>
  <si>
    <t>（14）税务部门经费基数划转</t>
  </si>
  <si>
    <t>（15）城乡居民基本医疗保险</t>
  </si>
  <si>
    <t>（16）闽江师专办学经费</t>
  </si>
  <si>
    <t>四、债务还本支出</t>
  </si>
  <si>
    <t>五、援助宁夏支出</t>
  </si>
  <si>
    <t>六、调入政府性基金</t>
  </si>
  <si>
    <t>七、动用预算稳定调节基金</t>
  </si>
  <si>
    <t>八、地方政府债券转贷收入及再融资债券</t>
  </si>
  <si>
    <t>九、当年实现财力</t>
  </si>
  <si>
    <t>附表3：2021年公共财政预算支出调整情况表</t>
  </si>
  <si>
    <t>类编码</t>
  </si>
  <si>
    <t>类科目</t>
  </si>
  <si>
    <t>年初         预算数</t>
  </si>
  <si>
    <t>其中</t>
  </si>
  <si>
    <t>转移支付计入财力调整</t>
  </si>
  <si>
    <t>动用        预备费</t>
  </si>
  <si>
    <t>超短收安排</t>
  </si>
  <si>
    <t>调入基金</t>
  </si>
  <si>
    <t>调入稳定调节基金</t>
  </si>
  <si>
    <t>地方政府债券转贷资金</t>
  </si>
  <si>
    <t>外债转贷资金</t>
  </si>
  <si>
    <t>科目调剂</t>
  </si>
  <si>
    <t>调整后   支出数</t>
  </si>
  <si>
    <t>一般公共服务</t>
  </si>
  <si>
    <t>国防</t>
  </si>
  <si>
    <t>公共安全</t>
  </si>
  <si>
    <t>教育</t>
  </si>
  <si>
    <t>科学技术</t>
  </si>
  <si>
    <t>文化体育与传媒</t>
  </si>
  <si>
    <t>社会保障和就业</t>
  </si>
  <si>
    <t>医疗卫生与计划生育事务</t>
  </si>
  <si>
    <t>节能环保</t>
  </si>
  <si>
    <t>城乡社区事务</t>
  </si>
  <si>
    <t>农林水事务</t>
  </si>
  <si>
    <t>交通运输</t>
  </si>
  <si>
    <t>资源勘探信息等</t>
  </si>
  <si>
    <t>商业服务业等</t>
  </si>
  <si>
    <t>金融支出</t>
  </si>
  <si>
    <t>援助其他地区</t>
  </si>
  <si>
    <t>自然资源海洋气象等</t>
  </si>
  <si>
    <t>住房保障</t>
  </si>
  <si>
    <t>粮油物资储备</t>
  </si>
  <si>
    <t>灾害防治及应急管理</t>
  </si>
  <si>
    <t>预备费</t>
  </si>
  <si>
    <t>债务还本支出</t>
  </si>
  <si>
    <t>债务付息</t>
  </si>
  <si>
    <t>其他支出</t>
  </si>
  <si>
    <t>债务发行费用</t>
  </si>
  <si>
    <t>合   计</t>
  </si>
  <si>
    <t>附表4：2021年政府性基金预算支出调整情况表</t>
  </si>
  <si>
    <t>动用上年结余</t>
  </si>
  <si>
    <t>调出基金</t>
  </si>
  <si>
    <t>上解支出</t>
  </si>
  <si>
    <t>社会保障和就业支出</t>
  </si>
  <si>
    <t>资源勘探信息等支出</t>
  </si>
  <si>
    <t>债务付息支出</t>
  </si>
  <si>
    <t>债务发行费用支出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</si>
</sst>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#,##0.00_);[Red]\(#,##0.00\)"/>
    <numFmt numFmtId="179" formatCode="0_ "/>
  </numFmts>
  <fonts count="4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b/>
      <sz val="14"/>
      <name val="仿宋"/>
      <charset val="134"/>
    </font>
    <font>
      <b/>
      <sz val="14"/>
      <color indexed="8"/>
      <name val="仿宋"/>
      <charset val="134"/>
    </font>
    <font>
      <sz val="10"/>
      <color indexed="8"/>
      <name val="仿宋"/>
      <charset val="134"/>
    </font>
    <font>
      <sz val="16"/>
      <color indexed="8"/>
      <name val="仿宋"/>
      <charset val="134"/>
    </font>
    <font>
      <sz val="14"/>
      <name val="仿宋"/>
      <charset val="134"/>
    </font>
    <font>
      <sz val="10"/>
      <name val="仿宋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b/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indexed="3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2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/>
    <xf numFmtId="0" fontId="20" fillId="16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34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/>
    <xf numFmtId="0" fontId="25" fillId="0" borderId="16" applyNumberFormat="0" applyFill="0" applyAlignment="0" applyProtection="0">
      <alignment vertical="center"/>
    </xf>
    <xf numFmtId="0" fontId="27" fillId="24" borderId="0" applyNumberFormat="0" applyBorder="0" applyAlignment="0" applyProtection="0"/>
    <xf numFmtId="0" fontId="19" fillId="37" borderId="0" applyNumberFormat="0" applyBorder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29" fillId="18" borderId="17" applyNumberFormat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/>
    <xf numFmtId="0" fontId="5" fillId="0" borderId="0"/>
    <xf numFmtId="0" fontId="27" fillId="22" borderId="0" applyNumberFormat="0" applyBorder="0" applyAlignment="0" applyProtection="0"/>
    <xf numFmtId="0" fontId="19" fillId="35" borderId="0" applyNumberFormat="0" applyBorder="0" applyAlignment="0" applyProtection="0">
      <alignment vertical="center"/>
    </xf>
    <xf numFmtId="0" fontId="20" fillId="14" borderId="0" applyNumberFormat="0" applyBorder="0" applyAlignment="0" applyProtection="0"/>
    <xf numFmtId="0" fontId="21" fillId="4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7" fillId="22" borderId="0" applyNumberFormat="0" applyBorder="0" applyAlignment="0" applyProtection="0"/>
    <xf numFmtId="0" fontId="40" fillId="41" borderId="0" applyNumberFormat="0" applyBorder="0" applyAlignment="0" applyProtection="0">
      <alignment vertical="center"/>
    </xf>
    <xf numFmtId="0" fontId="27" fillId="26" borderId="0" applyNumberFormat="0" applyBorder="0" applyAlignment="0" applyProtection="0"/>
    <xf numFmtId="0" fontId="20" fillId="16" borderId="0" applyNumberFormat="0" applyBorder="0" applyAlignment="0" applyProtection="0"/>
    <xf numFmtId="0" fontId="27" fillId="28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8" borderId="0" applyNumberFormat="0" applyBorder="0" applyAlignment="0" applyProtection="0"/>
    <xf numFmtId="0" fontId="27" fillId="4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3" borderId="0" applyNumberFormat="0" applyBorder="0" applyAlignment="0" applyProtection="0"/>
    <xf numFmtId="0" fontId="20" fillId="44" borderId="0" applyNumberFormat="0" applyBorder="0" applyAlignment="0" applyProtection="0"/>
    <xf numFmtId="0" fontId="20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12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4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5" fillId="0" borderId="0"/>
    <xf numFmtId="0" fontId="42" fillId="47" borderId="0" applyNumberFormat="0" applyBorder="0" applyAlignment="0" applyProtection="0"/>
    <xf numFmtId="0" fontId="5" fillId="0" borderId="0"/>
    <xf numFmtId="0" fontId="42" fillId="47" borderId="0" applyNumberFormat="0" applyBorder="0" applyAlignment="0" applyProtection="0"/>
    <xf numFmtId="0" fontId="5" fillId="0" borderId="0"/>
    <xf numFmtId="0" fontId="5" fillId="0" borderId="0"/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" fillId="0" borderId="0"/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11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11" fillId="0" borderId="0" xfId="0" applyFont="1" applyFill="1" applyAlignment="1">
      <alignment horizontal="right" vertical="center"/>
    </xf>
    <xf numFmtId="0" fontId="12" fillId="0" borderId="2" xfId="0" applyNumberFormat="1" applyFont="1" applyFill="1" applyBorder="1" applyAlignment="1">
      <alignment horizontal="center" vertical="center"/>
    </xf>
    <xf numFmtId="176" fontId="12" fillId="0" borderId="2" xfId="112" applyNumberFormat="1" applyFont="1" applyFill="1" applyBorder="1" applyAlignment="1">
      <alignment horizontal="center" vertical="center" wrapText="1"/>
    </xf>
    <xf numFmtId="0" fontId="13" fillId="0" borderId="2" xfId="112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57" fontId="5" fillId="0" borderId="1" xfId="0" applyNumberFormat="1" applyFont="1" applyFill="1" applyBorder="1" applyAlignment="1">
      <alignment vertical="center"/>
    </xf>
    <xf numFmtId="176" fontId="9" fillId="0" borderId="2" xfId="118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12" fillId="0" borderId="2" xfId="112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horizontal="center"/>
      <protection locked="0"/>
    </xf>
    <xf numFmtId="31" fontId="7" fillId="0" borderId="1" xfId="0" applyNumberFormat="1" applyFont="1" applyFill="1" applyBorder="1" applyAlignment="1">
      <alignment horizontal="left" wrapText="1"/>
    </xf>
    <xf numFmtId="31" fontId="7" fillId="0" borderId="1" xfId="0" applyNumberFormat="1" applyFont="1" applyFill="1" applyBorder="1" applyAlignment="1">
      <alignment wrapText="1"/>
    </xf>
    <xf numFmtId="31" fontId="7" fillId="0" borderId="1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78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178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177" fontId="7" fillId="0" borderId="0" xfId="0" applyNumberFormat="1" applyFont="1" applyFill="1" applyBorder="1" applyAlignment="1">
      <alignment horizontal="right" wrapText="1"/>
    </xf>
    <xf numFmtId="177" fontId="7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177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179" fontId="8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8" fillId="0" borderId="0" xfId="112" applyFont="1" applyFill="1" applyBorder="1" applyAlignment="1">
      <alignment horizontal="center" vertical="center"/>
    </xf>
    <xf numFmtId="31" fontId="3" fillId="0" borderId="0" xfId="112" applyNumberFormat="1" applyFont="1" applyFill="1" applyAlignment="1">
      <alignment horizontal="left" vertical="center" wrapText="1"/>
    </xf>
    <xf numFmtId="179" fontId="3" fillId="0" borderId="0" xfId="112" applyNumberFormat="1" applyFont="1" applyFill="1" applyBorder="1" applyAlignment="1">
      <alignment horizontal="center" vertical="center"/>
    </xf>
    <xf numFmtId="179" fontId="3" fillId="0" borderId="1" xfId="112" applyNumberFormat="1" applyFont="1" applyFill="1" applyBorder="1" applyAlignment="1">
      <alignment horizontal="center" vertical="center"/>
    </xf>
    <xf numFmtId="10" fontId="3" fillId="0" borderId="1" xfId="112" applyNumberFormat="1" applyFont="1" applyFill="1" applyBorder="1" applyAlignment="1">
      <alignment horizontal="right" vertical="center"/>
    </xf>
    <xf numFmtId="0" fontId="7" fillId="0" borderId="4" xfId="112" applyFont="1" applyFill="1" applyBorder="1" applyAlignment="1">
      <alignment horizontal="center" vertical="center" wrapText="1"/>
    </xf>
    <xf numFmtId="0" fontId="7" fillId="0" borderId="10" xfId="112" applyFont="1" applyFill="1" applyBorder="1" applyAlignment="1">
      <alignment horizontal="center" vertical="center" wrapText="1"/>
    </xf>
    <xf numFmtId="0" fontId="7" fillId="0" borderId="11" xfId="112" applyFont="1" applyFill="1" applyBorder="1" applyAlignment="1">
      <alignment horizontal="center" vertical="center" wrapText="1"/>
    </xf>
    <xf numFmtId="0" fontId="7" fillId="0" borderId="12" xfId="112" applyFont="1" applyFill="1" applyBorder="1" applyAlignment="1">
      <alignment horizontal="center" vertical="center" wrapText="1"/>
    </xf>
    <xf numFmtId="0" fontId="7" fillId="0" borderId="6" xfId="112" applyFont="1" applyFill="1" applyBorder="1" applyAlignment="1">
      <alignment horizontal="center" vertical="center" wrapText="1"/>
    </xf>
    <xf numFmtId="0" fontId="7" fillId="0" borderId="7" xfId="112" applyFont="1" applyFill="1" applyBorder="1" applyAlignment="1">
      <alignment horizontal="center" vertical="center" wrapText="1"/>
    </xf>
    <xf numFmtId="0" fontId="7" fillId="0" borderId="8" xfId="112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112" applyFont="1" applyFill="1" applyBorder="1" applyAlignment="1">
      <alignment horizontal="center" vertical="center" wrapText="1"/>
    </xf>
    <xf numFmtId="0" fontId="11" fillId="0" borderId="2" xfId="112" applyFont="1" applyFill="1" applyBorder="1" applyAlignment="1">
      <alignment vertical="center" wrapText="1"/>
    </xf>
    <xf numFmtId="176" fontId="11" fillId="0" borderId="2" xfId="112" applyNumberFormat="1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left" vertical="center" wrapText="1"/>
    </xf>
    <xf numFmtId="0" fontId="3" fillId="0" borderId="2" xfId="112" applyFont="1" applyFill="1" applyBorder="1" applyAlignment="1">
      <alignment vertical="center" wrapText="1"/>
    </xf>
    <xf numFmtId="176" fontId="3" fillId="0" borderId="2" xfId="112" applyNumberFormat="1" applyFont="1" applyFill="1" applyBorder="1" applyAlignment="1">
      <alignment horizontal="center" vertical="center"/>
    </xf>
    <xf numFmtId="0" fontId="3" fillId="0" borderId="2" xfId="112" applyFont="1" applyFill="1" applyBorder="1" applyAlignment="1">
      <alignment horizontal="left" vertical="center" wrapText="1"/>
    </xf>
    <xf numFmtId="179" fontId="5" fillId="0" borderId="2" xfId="112" applyNumberFormat="1" applyFont="1" applyFill="1" applyBorder="1" applyAlignment="1">
      <alignment horizontal="center" vertical="center"/>
    </xf>
    <xf numFmtId="176" fontId="5" fillId="0" borderId="2" xfId="112" applyNumberFormat="1" applyFont="1" applyFill="1" applyBorder="1" applyAlignment="1">
      <alignment horizontal="center" vertical="center"/>
    </xf>
    <xf numFmtId="177" fontId="18" fillId="0" borderId="0" xfId="112" applyNumberFormat="1" applyFont="1" applyFill="1" applyBorder="1" applyAlignment="1">
      <alignment horizontal="center" vertical="center"/>
    </xf>
    <xf numFmtId="177" fontId="3" fillId="0" borderId="1" xfId="112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7" fontId="7" fillId="0" borderId="10" xfId="0" applyNumberFormat="1" applyFont="1" applyFill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177" fontId="7" fillId="0" borderId="2" xfId="112" applyNumberFormat="1" applyFont="1" applyFill="1" applyBorder="1" applyAlignment="1">
      <alignment horizontal="center" vertical="center" wrapText="1"/>
    </xf>
    <xf numFmtId="177" fontId="11" fillId="0" borderId="2" xfId="112" applyNumberFormat="1" applyFont="1" applyFill="1" applyBorder="1" applyAlignment="1">
      <alignment horizontal="center" vertical="center"/>
    </xf>
    <xf numFmtId="177" fontId="3" fillId="0" borderId="2" xfId="112" applyNumberFormat="1" applyFont="1" applyFill="1" applyBorder="1" applyAlignment="1">
      <alignment horizontal="center" vertical="center"/>
    </xf>
    <xf numFmtId="10" fontId="3" fillId="0" borderId="0" xfId="14" applyNumberFormat="1" applyFont="1" applyFill="1" applyBorder="1" applyAlignment="1">
      <alignment vertical="center"/>
    </xf>
  </cellXfs>
  <cellStyles count="13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Accent2 - 40%" xfId="6"/>
    <cellStyle name="Accent2 - 20% 2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Accent2 - 60%" xfId="12"/>
    <cellStyle name="60% - 强调文字颜色 3" xfId="13" builtinId="40"/>
    <cellStyle name="百分比" xfId="14" builtinId="5"/>
    <cellStyle name="Accent1 - 40% 2" xfId="15"/>
    <cellStyle name="已访问的超链接" xfId="16" builtinId="9"/>
    <cellStyle name="注释" xfId="17" builtinId="10"/>
    <cellStyle name="60% - 强调文字颜色 2" xfId="18" builtinId="36"/>
    <cellStyle name="Accent6 3" xfId="19"/>
    <cellStyle name="标题 4" xfId="20" builtinId="19"/>
    <cellStyle name="警告文本" xfId="21" builtinId="11"/>
    <cellStyle name="标题" xfId="22" builtinId="15"/>
    <cellStyle name="解释性文本" xfId="23" builtinId="53"/>
    <cellStyle name="常规_2019年项目调整表最新2019.11.21修改 2" xfId="24"/>
    <cellStyle name="标题 1" xfId="25" builtinId="16"/>
    <cellStyle name="标题 2" xfId="26" builtinId="17"/>
    <cellStyle name="60% - 强调文字颜色 1" xfId="27" builtinId="32"/>
    <cellStyle name="Accent6 2" xfId="28"/>
    <cellStyle name="标题 3" xfId="29" builtinId="18"/>
    <cellStyle name="Accent1 2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2018年预算调整表12.24(不得以修改报闽侯上会定稿)_2019年项目调整表最新2019.11.7（基金修改） 2" xfId="47"/>
    <cellStyle name="强调文字颜色 3" xfId="48" builtinId="37"/>
    <cellStyle name="Accent2 - 40% 2" xfId="49"/>
    <cellStyle name="常规_2019年项目调整表最新2019.11.21修改" xfId="50"/>
    <cellStyle name="Accent1 - 60% 2" xfId="51"/>
    <cellStyle name="强调文字颜色 4" xfId="52" builtinId="41"/>
    <cellStyle name="Accent1 - 20% 2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Accent1 3" xfId="58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Accent1" xfId="63"/>
    <cellStyle name="Accent1 - 20%" xfId="64"/>
    <cellStyle name="Accent1 - 40%" xfId="65"/>
    <cellStyle name="Accent1 - 60%" xfId="66"/>
    <cellStyle name="差_2019年项目调整表最新2019.11.21修改1" xfId="67"/>
    <cellStyle name="Accent2" xfId="68"/>
    <cellStyle name="Accent2 - 20%" xfId="69"/>
    <cellStyle name="Accent2 - 60% 2" xfId="70"/>
    <cellStyle name="超链接 2" xfId="71"/>
    <cellStyle name="Accent2 2" xfId="72"/>
    <cellStyle name="Accent2 3" xfId="73"/>
    <cellStyle name="Accent3" xfId="74"/>
    <cellStyle name="Accent5 2" xfId="75"/>
    <cellStyle name="Accent3 - 20%" xfId="76"/>
    <cellStyle name="Accent3 - 20% 2" xfId="77"/>
    <cellStyle name="Accent3 - 40%" xfId="78"/>
    <cellStyle name="Accent3 - 40% 2" xfId="79"/>
    <cellStyle name="Accent3 - 60%" xfId="80"/>
    <cellStyle name="Accent3 - 60% 2" xfId="81"/>
    <cellStyle name="Accent3 2" xfId="82"/>
    <cellStyle name="Accent3 3" xfId="83"/>
    <cellStyle name="Accent4" xfId="84"/>
    <cellStyle name="Accent4 - 20%" xfId="85"/>
    <cellStyle name="Accent4 - 20% 2" xfId="86"/>
    <cellStyle name="Accent4 - 40%" xfId="87"/>
    <cellStyle name="Accent6 - 40%" xfId="88"/>
    <cellStyle name="Accent4 - 40% 2" xfId="89"/>
    <cellStyle name="Accent4 - 60%" xfId="90"/>
    <cellStyle name="Accent4 - 60% 2" xfId="91"/>
    <cellStyle name="Accent6" xfId="92"/>
    <cellStyle name="Accent4 2" xfId="93"/>
    <cellStyle name="Accent4 3" xfId="94"/>
    <cellStyle name="Accent5" xfId="95"/>
    <cellStyle name="Accent5 - 20%" xfId="96"/>
    <cellStyle name="Accent5 - 20% 2" xfId="97"/>
    <cellStyle name="Accent5 - 40%" xfId="98"/>
    <cellStyle name="Accent5 - 40% 2" xfId="99"/>
    <cellStyle name="Accent5 - 60%" xfId="100"/>
    <cellStyle name="Accent5 - 60% 2" xfId="101"/>
    <cellStyle name="Accent5 3" xfId="102"/>
    <cellStyle name="Accent6 - 20%" xfId="103"/>
    <cellStyle name="Accent6 - 20% 2" xfId="104"/>
    <cellStyle name="Accent6 - 40% 2" xfId="105"/>
    <cellStyle name="Accent6 - 60%" xfId="106"/>
    <cellStyle name="Accent6 - 60% 2" xfId="107"/>
    <cellStyle name="表标题" xfId="108"/>
    <cellStyle name="表标题 2" xfId="109"/>
    <cellStyle name="差_2019年项目调整表最新2019.11.21李晓成" xfId="110"/>
    <cellStyle name="差_2019年项目调整表最新2019.11.21修改" xfId="111"/>
    <cellStyle name="常规 2" xfId="112"/>
    <cellStyle name="强调 3" xfId="113"/>
    <cellStyle name="常规 2 2" xfId="114"/>
    <cellStyle name="强调 3 2" xfId="115"/>
    <cellStyle name="常规 2 2 2" xfId="116"/>
    <cellStyle name="常规 2 3" xfId="117"/>
    <cellStyle name="常规 22" xfId="118"/>
    <cellStyle name="常规_2018年预算调整表12.24(不得以修改报闽侯上会定稿) 2" xfId="119"/>
    <cellStyle name="常规_2019年项目调整表最新2019.11.21修改1 2" xfId="120"/>
    <cellStyle name="好_2019年项目调整表最新2019.11.21李晓成" xfId="121"/>
    <cellStyle name="好_2019年项目调整表最新2019.11.21修改" xfId="122"/>
    <cellStyle name="好_2019年项目调整表最新2019.11.21修改1" xfId="123"/>
    <cellStyle name="强调 1" xfId="124"/>
    <cellStyle name="强调 1 2" xfId="125"/>
    <cellStyle name="强调 2" xfId="126"/>
    <cellStyle name="强调 2 2" xfId="127"/>
    <cellStyle name="常规_2018年预算调整表12.24(不得以修改报闽侯上会定稿)" xfId="128"/>
    <cellStyle name="超链接 3" xfId="129"/>
    <cellStyle name="常规_（高新区财力）2020年预算调整表12.09（未排版）" xfId="130"/>
    <cellStyle name="常规_附件4-2018—2020年部门支出规划录入表" xfId="1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1"/>
  <sheetViews>
    <sheetView showZeros="0" view="pageBreakPreview" zoomScaleNormal="100" workbookViewId="0">
      <pane xSplit="1" ySplit="4" topLeftCell="B59" activePane="bottomRight" state="frozen"/>
      <selection/>
      <selection pane="topRight"/>
      <selection pane="bottomLeft"/>
      <selection pane="bottomRight" activeCell="E26" sqref="E26"/>
    </sheetView>
  </sheetViews>
  <sheetFormatPr defaultColWidth="9" defaultRowHeight="13.5"/>
  <cols>
    <col min="1" max="1" width="15.375" style="84" customWidth="1"/>
    <col min="2" max="2" width="14.125" style="33" customWidth="1"/>
    <col min="3" max="5" width="12.25" style="33" customWidth="1"/>
    <col min="6" max="6" width="11.5" style="33" customWidth="1"/>
    <col min="7" max="7" width="12.25" style="33" customWidth="1"/>
    <col min="8" max="8" width="15.375" style="33" customWidth="1"/>
    <col min="9" max="9" width="13.375" style="33" customWidth="1"/>
    <col min="10" max="10" width="11.25" style="33" customWidth="1"/>
    <col min="11" max="12" width="9.875" style="85" customWidth="1"/>
    <col min="13" max="13" width="9.875" style="86" customWidth="1"/>
    <col min="14" max="14" width="9" style="33"/>
    <col min="15" max="15" width="12.625" style="33"/>
    <col min="16" max="17" width="9" style="33"/>
    <col min="18" max="19" width="12.625" style="33"/>
    <col min="20" max="20" width="13.75" style="33"/>
    <col min="21" max="16384" width="9" style="33"/>
  </cols>
  <sheetData>
    <row r="1" s="33" customFormat="1" ht="20.25" spans="1:1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109"/>
      <c r="L1" s="109"/>
      <c r="M1" s="109"/>
    </row>
    <row r="2" s="33" customFormat="1" ht="22.5" customHeight="1" spans="1:13">
      <c r="A2" s="88" t="s">
        <v>1</v>
      </c>
      <c r="B2" s="88"/>
      <c r="C2" s="89"/>
      <c r="D2" s="89"/>
      <c r="E2" s="90" t="s">
        <v>2</v>
      </c>
      <c r="F2" s="90"/>
      <c r="G2" s="90"/>
      <c r="H2" s="91" t="s">
        <v>3</v>
      </c>
      <c r="I2" s="91"/>
      <c r="J2" s="91"/>
      <c r="K2" s="110"/>
      <c r="L2" s="110"/>
      <c r="M2" s="110"/>
    </row>
    <row r="3" s="33" customFormat="1" ht="30" customHeight="1" spans="1:13">
      <c r="A3" s="92" t="s">
        <v>4</v>
      </c>
      <c r="B3" s="93" t="s">
        <v>5</v>
      </c>
      <c r="C3" s="94"/>
      <c r="D3" s="95"/>
      <c r="E3" s="96" t="s">
        <v>6</v>
      </c>
      <c r="F3" s="97"/>
      <c r="G3" s="98"/>
      <c r="H3" s="99" t="s">
        <v>7</v>
      </c>
      <c r="I3" s="111"/>
      <c r="J3" s="112"/>
      <c r="K3" s="113" t="s">
        <v>8</v>
      </c>
      <c r="L3" s="114"/>
      <c r="M3" s="115"/>
    </row>
    <row r="4" s="33" customFormat="1" ht="30" customHeight="1" spans="1:13">
      <c r="A4" s="100"/>
      <c r="B4" s="13" t="s">
        <v>9</v>
      </c>
      <c r="C4" s="13" t="s">
        <v>10</v>
      </c>
      <c r="D4" s="13" t="s">
        <v>11</v>
      </c>
      <c r="E4" s="13" t="s">
        <v>9</v>
      </c>
      <c r="F4" s="13" t="s">
        <v>10</v>
      </c>
      <c r="G4" s="13" t="s">
        <v>11</v>
      </c>
      <c r="H4" s="13" t="s">
        <v>9</v>
      </c>
      <c r="I4" s="13" t="s">
        <v>10</v>
      </c>
      <c r="J4" s="13" t="s">
        <v>11</v>
      </c>
      <c r="K4" s="116" t="s">
        <v>9</v>
      </c>
      <c r="L4" s="116" t="s">
        <v>10</v>
      </c>
      <c r="M4" s="116" t="s">
        <v>11</v>
      </c>
    </row>
    <row r="5" s="34" customFormat="1" ht="41" customHeight="1" spans="1:13">
      <c r="A5" s="101" t="s">
        <v>12</v>
      </c>
      <c r="B5" s="102">
        <f>C5+D5</f>
        <v>3241372.548469</v>
      </c>
      <c r="C5" s="102">
        <f>C6+C11</f>
        <v>2538242</v>
      </c>
      <c r="D5" s="102">
        <f>D6+D11</f>
        <v>703130.548469</v>
      </c>
      <c r="E5" s="102">
        <f>E6+E11</f>
        <v>2328281.38427</v>
      </c>
      <c r="F5" s="102">
        <f>F6+F11</f>
        <v>1746586.51427</v>
      </c>
      <c r="G5" s="102">
        <f>G6+G11</f>
        <v>581694.87</v>
      </c>
      <c r="H5" s="102">
        <f t="shared" ref="H5:H9" si="0">I5+J5</f>
        <v>-913091.419699</v>
      </c>
      <c r="I5" s="102">
        <f t="shared" ref="I5:I9" si="1">F5-C5</f>
        <v>-791655.48573</v>
      </c>
      <c r="J5" s="102">
        <f>J6+J11</f>
        <v>-121435.933969</v>
      </c>
      <c r="K5" s="117">
        <f t="shared" ref="K5:K22" si="2">H5/B5*100</f>
        <v>-28.1699004370936</v>
      </c>
      <c r="L5" s="117">
        <f t="shared" ref="L5:L22" si="3">(F5-C5)/C5*100</f>
        <v>-31.1891256125302</v>
      </c>
      <c r="M5" s="117">
        <f t="shared" ref="M5:M15" si="4">(J5/D5)*100</f>
        <v>-17.2707521005047</v>
      </c>
    </row>
    <row r="6" s="34" customFormat="1" ht="41" customHeight="1" spans="1:13">
      <c r="A6" s="101" t="s">
        <v>13</v>
      </c>
      <c r="B6" s="102">
        <f t="shared" ref="B6:B37" si="5">C6+D6</f>
        <v>1323572.548469</v>
      </c>
      <c r="C6" s="102">
        <f t="shared" ref="B6:G6" si="6">C7+C8</f>
        <v>1038242</v>
      </c>
      <c r="D6" s="102">
        <f t="shared" si="6"/>
        <v>285330.548469</v>
      </c>
      <c r="E6" s="102">
        <f t="shared" si="6"/>
        <v>1438857.14</v>
      </c>
      <c r="F6" s="102">
        <f t="shared" si="6"/>
        <v>1146587</v>
      </c>
      <c r="G6" s="102">
        <f t="shared" si="6"/>
        <v>292270.14</v>
      </c>
      <c r="H6" s="102">
        <f t="shared" si="0"/>
        <v>115284.336031</v>
      </c>
      <c r="I6" s="102">
        <f t="shared" si="1"/>
        <v>108345</v>
      </c>
      <c r="J6" s="102">
        <f>J12+J36</f>
        <v>6939.336031</v>
      </c>
      <c r="K6" s="117">
        <f t="shared" si="2"/>
        <v>8.71008817494375</v>
      </c>
      <c r="L6" s="117">
        <f t="shared" si="3"/>
        <v>10.4354283490747</v>
      </c>
      <c r="M6" s="117">
        <f t="shared" si="4"/>
        <v>2.43203402798419</v>
      </c>
    </row>
    <row r="7" s="34" customFormat="1" ht="41" customHeight="1" spans="1:13">
      <c r="A7" s="101" t="s">
        <v>14</v>
      </c>
      <c r="B7" s="102">
        <f t="shared" si="5"/>
        <v>503090.989</v>
      </c>
      <c r="C7" s="102">
        <f t="shared" ref="B7:G7" si="7">C12-C9</f>
        <v>404066</v>
      </c>
      <c r="D7" s="102">
        <f t="shared" si="7"/>
        <v>99024.989</v>
      </c>
      <c r="E7" s="102">
        <f t="shared" si="7"/>
        <v>530984.8</v>
      </c>
      <c r="F7" s="102">
        <f t="shared" si="7"/>
        <v>433894</v>
      </c>
      <c r="G7" s="102">
        <f t="shared" si="7"/>
        <v>97090.8</v>
      </c>
      <c r="H7" s="102">
        <f t="shared" si="0"/>
        <v>27893.811</v>
      </c>
      <c r="I7" s="102">
        <f t="shared" si="1"/>
        <v>29828</v>
      </c>
      <c r="J7" s="102">
        <f t="shared" ref="J7:J11" si="8">G7-D7</f>
        <v>-1934.18900000001</v>
      </c>
      <c r="K7" s="117">
        <f t="shared" si="2"/>
        <v>5.54448630762496</v>
      </c>
      <c r="L7" s="117">
        <f t="shared" si="3"/>
        <v>7.38196235268496</v>
      </c>
      <c r="M7" s="117">
        <f t="shared" si="4"/>
        <v>-1.95323323893529</v>
      </c>
    </row>
    <row r="8" s="34" customFormat="1" ht="41" customHeight="1" spans="1:15">
      <c r="A8" s="103" t="s">
        <v>15</v>
      </c>
      <c r="B8" s="102">
        <f t="shared" si="5"/>
        <v>820481.559469</v>
      </c>
      <c r="C8" s="102">
        <f t="shared" ref="B8:G8" si="9">C9+C10</f>
        <v>634176</v>
      </c>
      <c r="D8" s="102">
        <f t="shared" si="9"/>
        <v>186305.559469</v>
      </c>
      <c r="E8" s="102">
        <f t="shared" si="9"/>
        <v>907872.34</v>
      </c>
      <c r="F8" s="102">
        <f t="shared" si="9"/>
        <v>712693</v>
      </c>
      <c r="G8" s="102">
        <f t="shared" si="9"/>
        <v>195179.34</v>
      </c>
      <c r="H8" s="102">
        <f t="shared" si="0"/>
        <v>87390.525031</v>
      </c>
      <c r="I8" s="102">
        <f t="shared" si="1"/>
        <v>78517</v>
      </c>
      <c r="J8" s="102">
        <f>J9+J10</f>
        <v>8873.525031</v>
      </c>
      <c r="K8" s="117">
        <f t="shared" si="2"/>
        <v>10.6511260396343</v>
      </c>
      <c r="L8" s="117">
        <f t="shared" si="3"/>
        <v>12.3809478756686</v>
      </c>
      <c r="M8" s="117">
        <f t="shared" si="4"/>
        <v>4.76288794402644</v>
      </c>
      <c r="N8" s="34">
        <v>603977</v>
      </c>
      <c r="O8" s="34">
        <f>N8*1.2</f>
        <v>724772.4</v>
      </c>
    </row>
    <row r="9" s="33" customFormat="1" ht="41" customHeight="1" spans="1:15">
      <c r="A9" s="104" t="s">
        <v>16</v>
      </c>
      <c r="B9" s="102">
        <f t="shared" si="5"/>
        <v>620367.559469</v>
      </c>
      <c r="C9" s="105">
        <v>484176</v>
      </c>
      <c r="D9" s="105">
        <v>136191.559469</v>
      </c>
      <c r="E9" s="105">
        <f t="shared" ref="E9:E13" si="10">F9+G9</f>
        <v>577374.41</v>
      </c>
      <c r="F9" s="105">
        <f>F13*0.5+F21*0.4+F24*0.4+F25+F26+F27+F28+F29+F30+F31+F32+F33+F34</f>
        <v>433719</v>
      </c>
      <c r="G9" s="105">
        <f>G13*0.5+G21*0.4+G24*0.4+G25+G26+G27+G28+G29+G30+G31+G32+G33+G34</f>
        <v>143655.41</v>
      </c>
      <c r="H9" s="105">
        <f t="shared" si="0"/>
        <v>-42993.149469</v>
      </c>
      <c r="I9" s="105">
        <f t="shared" si="1"/>
        <v>-50457</v>
      </c>
      <c r="J9" s="105">
        <f>G9-D9</f>
        <v>7463.850531</v>
      </c>
      <c r="K9" s="118">
        <f t="shared" si="2"/>
        <v>-6.93027041997485</v>
      </c>
      <c r="L9" s="118">
        <f t="shared" si="3"/>
        <v>-10.4212104689204</v>
      </c>
      <c r="M9" s="118">
        <f t="shared" si="4"/>
        <v>5.48040609866056</v>
      </c>
      <c r="O9" s="33">
        <f>O8-F8</f>
        <v>12079.4</v>
      </c>
    </row>
    <row r="10" s="33" customFormat="1" ht="41" customHeight="1" spans="1:13">
      <c r="A10" s="104" t="s">
        <v>17</v>
      </c>
      <c r="B10" s="102">
        <f t="shared" si="5"/>
        <v>200114</v>
      </c>
      <c r="C10" s="105">
        <v>150000</v>
      </c>
      <c r="D10" s="105">
        <v>50114</v>
      </c>
      <c r="E10" s="105">
        <f t="shared" si="10"/>
        <v>330497.93</v>
      </c>
      <c r="F10" s="105">
        <f>F36</f>
        <v>278974</v>
      </c>
      <c r="G10" s="105">
        <f>G36</f>
        <v>51523.93</v>
      </c>
      <c r="H10" s="105">
        <f t="shared" ref="H10:H35" si="11">I10+J10</f>
        <v>144383.6745</v>
      </c>
      <c r="I10" s="105">
        <f t="shared" ref="H10:J10" si="12">I37+I38+I39+I47+I48+I49+I50+I51</f>
        <v>142974</v>
      </c>
      <c r="J10" s="105">
        <f t="shared" si="12"/>
        <v>1409.6745</v>
      </c>
      <c r="K10" s="118">
        <f t="shared" si="2"/>
        <v>72.1507113445336</v>
      </c>
      <c r="L10" s="118">
        <f t="shared" si="3"/>
        <v>85.9826666666667</v>
      </c>
      <c r="M10" s="118">
        <f t="shared" si="4"/>
        <v>2.81293550704394</v>
      </c>
    </row>
    <row r="11" s="34" customFormat="1" ht="41" customHeight="1" spans="1:13">
      <c r="A11" s="101" t="s">
        <v>18</v>
      </c>
      <c r="B11" s="102">
        <f t="shared" si="5"/>
        <v>1917800</v>
      </c>
      <c r="C11" s="102">
        <f>C54+C58</f>
        <v>1500000</v>
      </c>
      <c r="D11" s="102">
        <f>D54+D58</f>
        <v>417800</v>
      </c>
      <c r="E11" s="102">
        <f t="shared" si="10"/>
        <v>889424.24427</v>
      </c>
      <c r="F11" s="102">
        <f>F53</f>
        <v>599999.51427</v>
      </c>
      <c r="G11" s="102">
        <f>G53</f>
        <v>289424.73</v>
      </c>
      <c r="H11" s="102">
        <f t="shared" si="11"/>
        <v>-1028375.75573</v>
      </c>
      <c r="I11" s="102">
        <f>F11-C11</f>
        <v>-900000.48573</v>
      </c>
      <c r="J11" s="102">
        <f t="shared" si="8"/>
        <v>-128375.27</v>
      </c>
      <c r="K11" s="117">
        <f t="shared" si="2"/>
        <v>-53.6226799316926</v>
      </c>
      <c r="L11" s="117">
        <f t="shared" si="3"/>
        <v>-60.000032382</v>
      </c>
      <c r="M11" s="117">
        <f t="shared" si="4"/>
        <v>-30.7264887505984</v>
      </c>
    </row>
    <row r="12" s="34" customFormat="1" ht="41" customHeight="1" spans="1:13">
      <c r="A12" s="101" t="s">
        <v>19</v>
      </c>
      <c r="B12" s="102">
        <f t="shared" si="5"/>
        <v>1123458.548469</v>
      </c>
      <c r="C12" s="102">
        <f t="shared" ref="B12:J12" si="13">C13+C18+C21+C24+C25+C26+C27+C28+C29+C30+C31+C32+C33+C34+C35</f>
        <v>888242</v>
      </c>
      <c r="D12" s="102">
        <f t="shared" si="13"/>
        <v>235216.548469</v>
      </c>
      <c r="E12" s="102">
        <f t="shared" si="13"/>
        <v>1108359.21</v>
      </c>
      <c r="F12" s="102">
        <f t="shared" si="13"/>
        <v>867613</v>
      </c>
      <c r="G12" s="102">
        <f t="shared" si="13"/>
        <v>240746.21</v>
      </c>
      <c r="H12" s="102">
        <f t="shared" si="13"/>
        <v>-15099.338469</v>
      </c>
      <c r="I12" s="102">
        <f t="shared" si="13"/>
        <v>-20629</v>
      </c>
      <c r="J12" s="102">
        <f t="shared" si="13"/>
        <v>5529.661531</v>
      </c>
      <c r="K12" s="117">
        <f t="shared" si="2"/>
        <v>-1.34400494700732</v>
      </c>
      <c r="L12" s="117">
        <f t="shared" si="3"/>
        <v>-2.3224526649269</v>
      </c>
      <c r="M12" s="117">
        <f t="shared" si="4"/>
        <v>2.3508811633331</v>
      </c>
    </row>
    <row r="13" s="33" customFormat="1" ht="41" customHeight="1" spans="1:14">
      <c r="A13" s="104" t="s">
        <v>20</v>
      </c>
      <c r="B13" s="102">
        <f t="shared" si="5"/>
        <v>504758</v>
      </c>
      <c r="C13" s="105">
        <v>400000</v>
      </c>
      <c r="D13" s="105">
        <v>104758</v>
      </c>
      <c r="E13" s="105">
        <f t="shared" si="10"/>
        <v>486240</v>
      </c>
      <c r="F13" s="105">
        <v>408000</v>
      </c>
      <c r="G13" s="105">
        <v>78240</v>
      </c>
      <c r="H13" s="105">
        <f t="shared" si="11"/>
        <v>-18518</v>
      </c>
      <c r="I13" s="105">
        <f t="shared" ref="I13:I20" si="14">F13-C13</f>
        <v>8000</v>
      </c>
      <c r="J13" s="105">
        <f t="shared" ref="J13:J20" si="15">G13-D13</f>
        <v>-26518</v>
      </c>
      <c r="K13" s="118">
        <f t="shared" si="2"/>
        <v>-3.66868875778096</v>
      </c>
      <c r="L13" s="118">
        <f t="shared" si="3"/>
        <v>2</v>
      </c>
      <c r="M13" s="118">
        <f t="shared" si="4"/>
        <v>-25.3135798697951</v>
      </c>
      <c r="N13" s="33">
        <f>F13*0.5+F18+F21*0.6+F24*0.6+F35</f>
        <v>433894</v>
      </c>
    </row>
    <row r="14" s="33" customFormat="1" ht="41" customHeight="1" spans="1:13">
      <c r="A14" s="104" t="s">
        <v>21</v>
      </c>
      <c r="B14" s="102">
        <f t="shared" si="5"/>
        <v>400000</v>
      </c>
      <c r="C14" s="105">
        <v>400000</v>
      </c>
      <c r="D14" s="105">
        <v>0</v>
      </c>
      <c r="E14" s="105">
        <f t="shared" ref="E14:E35" si="16">F14+G14</f>
        <v>486240</v>
      </c>
      <c r="F14" s="105">
        <v>408000</v>
      </c>
      <c r="G14" s="105">
        <v>78240</v>
      </c>
      <c r="H14" s="105">
        <f t="shared" si="11"/>
        <v>86240</v>
      </c>
      <c r="I14" s="105">
        <f t="shared" si="14"/>
        <v>8000</v>
      </c>
      <c r="J14" s="105">
        <f t="shared" si="15"/>
        <v>78240</v>
      </c>
      <c r="K14" s="118">
        <f t="shared" si="2"/>
        <v>21.56</v>
      </c>
      <c r="L14" s="118">
        <f t="shared" si="3"/>
        <v>2</v>
      </c>
      <c r="M14" s="118">
        <v>0</v>
      </c>
    </row>
    <row r="15" s="34" customFormat="1" ht="41" customHeight="1" spans="1:13">
      <c r="A15" s="104" t="s">
        <v>22</v>
      </c>
      <c r="B15" s="102">
        <f t="shared" si="5"/>
        <v>0</v>
      </c>
      <c r="C15" s="105">
        <v>0</v>
      </c>
      <c r="D15" s="105">
        <v>0</v>
      </c>
      <c r="E15" s="105">
        <f t="shared" si="16"/>
        <v>0</v>
      </c>
      <c r="F15" s="105">
        <v>0</v>
      </c>
      <c r="G15" s="105"/>
      <c r="H15" s="105">
        <f t="shared" si="11"/>
        <v>0</v>
      </c>
      <c r="I15" s="105">
        <f t="shared" si="14"/>
        <v>0</v>
      </c>
      <c r="J15" s="105">
        <f t="shared" si="15"/>
        <v>0</v>
      </c>
      <c r="K15" s="118">
        <v>0</v>
      </c>
      <c r="L15" s="118">
        <v>0</v>
      </c>
      <c r="M15" s="118">
        <v>0</v>
      </c>
    </row>
    <row r="16" s="33" customFormat="1" ht="41" customHeight="1" spans="1:13">
      <c r="A16" s="106" t="s">
        <v>23</v>
      </c>
      <c r="B16" s="102">
        <f t="shared" si="5"/>
        <v>0</v>
      </c>
      <c r="C16" s="105">
        <v>0</v>
      </c>
      <c r="D16" s="105">
        <v>0</v>
      </c>
      <c r="E16" s="105">
        <f t="shared" si="16"/>
        <v>-1813</v>
      </c>
      <c r="F16" s="105">
        <v>-1813</v>
      </c>
      <c r="G16" s="105">
        <v>0</v>
      </c>
      <c r="H16" s="105">
        <f t="shared" si="11"/>
        <v>-1813</v>
      </c>
      <c r="I16" s="105">
        <f t="shared" si="14"/>
        <v>-1813</v>
      </c>
      <c r="J16" s="105">
        <f t="shared" si="15"/>
        <v>0</v>
      </c>
      <c r="K16" s="118">
        <v>0</v>
      </c>
      <c r="L16" s="118">
        <v>0</v>
      </c>
      <c r="M16" s="118">
        <v>0</v>
      </c>
    </row>
    <row r="17" s="33" customFormat="1" ht="41" customHeight="1" spans="1:13">
      <c r="A17" s="104" t="s">
        <v>24</v>
      </c>
      <c r="B17" s="102">
        <f t="shared" si="5"/>
        <v>50000</v>
      </c>
      <c r="C17" s="105">
        <v>50000</v>
      </c>
      <c r="D17" s="105">
        <v>0</v>
      </c>
      <c r="E17" s="105">
        <f t="shared" si="16"/>
        <v>49000</v>
      </c>
      <c r="F17" s="105">
        <v>49000</v>
      </c>
      <c r="G17" s="105">
        <v>0</v>
      </c>
      <c r="H17" s="105">
        <f t="shared" si="11"/>
        <v>-1000</v>
      </c>
      <c r="I17" s="105">
        <f t="shared" si="14"/>
        <v>-1000</v>
      </c>
      <c r="J17" s="105">
        <f t="shared" si="15"/>
        <v>0</v>
      </c>
      <c r="K17" s="118">
        <f t="shared" si="2"/>
        <v>-2</v>
      </c>
      <c r="L17" s="118">
        <f t="shared" si="3"/>
        <v>-2</v>
      </c>
      <c r="M17" s="118">
        <v>0</v>
      </c>
    </row>
    <row r="18" s="33" customFormat="1" ht="41" customHeight="1" spans="1:13">
      <c r="A18" s="104" t="s">
        <v>25</v>
      </c>
      <c r="B18" s="102">
        <f t="shared" si="5"/>
        <v>57471</v>
      </c>
      <c r="C18" s="105">
        <v>57000</v>
      </c>
      <c r="D18" s="105">
        <v>471</v>
      </c>
      <c r="E18" s="105">
        <f t="shared" si="16"/>
        <v>71807</v>
      </c>
      <c r="F18" s="105">
        <v>70994</v>
      </c>
      <c r="G18" s="105">
        <v>813</v>
      </c>
      <c r="H18" s="105">
        <f t="shared" si="11"/>
        <v>14336</v>
      </c>
      <c r="I18" s="105">
        <f t="shared" si="14"/>
        <v>13994</v>
      </c>
      <c r="J18" s="105">
        <f t="shared" si="15"/>
        <v>342</v>
      </c>
      <c r="K18" s="118">
        <f t="shared" si="2"/>
        <v>24.9447547458718</v>
      </c>
      <c r="L18" s="118">
        <f t="shared" si="3"/>
        <v>24.5508771929825</v>
      </c>
      <c r="M18" s="118">
        <f>(J18/D18)*100</f>
        <v>72.6114649681529</v>
      </c>
    </row>
    <row r="19" s="33" customFormat="1" ht="41" customHeight="1" spans="1:13">
      <c r="A19" s="106" t="s">
        <v>23</v>
      </c>
      <c r="B19" s="102">
        <f t="shared" si="5"/>
        <v>0</v>
      </c>
      <c r="C19" s="105">
        <v>0</v>
      </c>
      <c r="D19" s="105">
        <v>0</v>
      </c>
      <c r="E19" s="105">
        <f t="shared" si="16"/>
        <v>800</v>
      </c>
      <c r="F19" s="105">
        <v>800</v>
      </c>
      <c r="G19" s="105">
        <v>0</v>
      </c>
      <c r="H19" s="105">
        <f t="shared" si="11"/>
        <v>800</v>
      </c>
      <c r="I19" s="105">
        <f t="shared" si="14"/>
        <v>800</v>
      </c>
      <c r="J19" s="105">
        <f t="shared" si="15"/>
        <v>0</v>
      </c>
      <c r="K19" s="118">
        <v>0</v>
      </c>
      <c r="L19" s="118">
        <v>0</v>
      </c>
      <c r="M19" s="118">
        <v>0</v>
      </c>
    </row>
    <row r="20" s="33" customFormat="1" ht="41" customHeight="1" spans="1:13">
      <c r="A20" s="104" t="s">
        <v>24</v>
      </c>
      <c r="B20" s="102">
        <f t="shared" si="5"/>
        <v>50000</v>
      </c>
      <c r="C20" s="105">
        <v>50000</v>
      </c>
      <c r="D20" s="105">
        <v>0</v>
      </c>
      <c r="E20" s="105">
        <f t="shared" si="16"/>
        <v>63900</v>
      </c>
      <c r="F20" s="105">
        <v>63900</v>
      </c>
      <c r="G20" s="105">
        <v>0</v>
      </c>
      <c r="H20" s="105">
        <f t="shared" si="11"/>
        <v>13900</v>
      </c>
      <c r="I20" s="105">
        <f t="shared" si="14"/>
        <v>13900</v>
      </c>
      <c r="J20" s="105">
        <f t="shared" si="15"/>
        <v>0</v>
      </c>
      <c r="K20" s="118">
        <f t="shared" si="2"/>
        <v>27.8</v>
      </c>
      <c r="L20" s="118">
        <f t="shared" si="3"/>
        <v>27.8</v>
      </c>
      <c r="M20" s="118">
        <v>0</v>
      </c>
    </row>
    <row r="21" s="33" customFormat="1" ht="41" customHeight="1" spans="1:13">
      <c r="A21" s="104" t="s">
        <v>26</v>
      </c>
      <c r="B21" s="102">
        <f t="shared" si="5"/>
        <v>196536.315</v>
      </c>
      <c r="C21" s="105">
        <v>150000</v>
      </c>
      <c r="D21" s="105">
        <v>46536.315</v>
      </c>
      <c r="E21" s="105">
        <f t="shared" si="16"/>
        <v>245453</v>
      </c>
      <c r="F21" s="105">
        <v>188000</v>
      </c>
      <c r="G21" s="105">
        <v>57453</v>
      </c>
      <c r="H21" s="105">
        <f t="shared" si="11"/>
        <v>48916.685</v>
      </c>
      <c r="I21" s="105">
        <f t="shared" ref="I21:I35" si="17">F21-C21</f>
        <v>38000</v>
      </c>
      <c r="J21" s="105">
        <f t="shared" ref="J21:J35" si="18">G21-D21</f>
        <v>10916.685</v>
      </c>
      <c r="K21" s="118">
        <f t="shared" si="2"/>
        <v>24.889387490551</v>
      </c>
      <c r="L21" s="118">
        <f t="shared" si="3"/>
        <v>25.3333333333333</v>
      </c>
      <c r="M21" s="118">
        <f t="shared" ref="M21:M33" si="19">(J21/D21)*100</f>
        <v>23.4584216648869</v>
      </c>
    </row>
    <row r="22" s="33" customFormat="1" ht="41" hidden="1" customHeight="1" spans="1:13">
      <c r="A22" s="104" t="s">
        <v>23</v>
      </c>
      <c r="B22" s="102">
        <f t="shared" si="5"/>
        <v>0</v>
      </c>
      <c r="C22" s="105">
        <v>0</v>
      </c>
      <c r="D22" s="105">
        <v>0</v>
      </c>
      <c r="E22" s="105">
        <f t="shared" si="16"/>
        <v>8</v>
      </c>
      <c r="F22" s="105">
        <v>8</v>
      </c>
      <c r="G22" s="105">
        <v>0</v>
      </c>
      <c r="H22" s="105">
        <f t="shared" si="11"/>
        <v>8</v>
      </c>
      <c r="I22" s="105">
        <f t="shared" si="17"/>
        <v>8</v>
      </c>
      <c r="J22" s="105">
        <f t="shared" si="18"/>
        <v>0</v>
      </c>
      <c r="K22" s="118">
        <v>0</v>
      </c>
      <c r="L22" s="118">
        <v>0</v>
      </c>
      <c r="M22" s="118">
        <v>0</v>
      </c>
    </row>
    <row r="23" s="33" customFormat="1" ht="41" customHeight="1" spans="1:13">
      <c r="A23" s="104" t="s">
        <v>24</v>
      </c>
      <c r="B23" s="102">
        <f t="shared" si="5"/>
        <v>50000</v>
      </c>
      <c r="C23" s="105">
        <v>50000</v>
      </c>
      <c r="D23" s="105">
        <v>0</v>
      </c>
      <c r="E23" s="105">
        <f t="shared" si="16"/>
        <v>69000</v>
      </c>
      <c r="F23" s="105">
        <v>69000</v>
      </c>
      <c r="G23" s="105">
        <v>0</v>
      </c>
      <c r="H23" s="105">
        <f t="shared" si="11"/>
        <v>19000</v>
      </c>
      <c r="I23" s="105">
        <f t="shared" si="17"/>
        <v>19000</v>
      </c>
      <c r="J23" s="105">
        <f t="shared" si="18"/>
        <v>0</v>
      </c>
      <c r="K23" s="118">
        <f t="shared" ref="K23:K45" si="20">H23/B23*100</f>
        <v>38</v>
      </c>
      <c r="L23" s="118">
        <f t="shared" ref="L23:L45" si="21">(F23-C23)/C23*100</f>
        <v>38</v>
      </c>
      <c r="M23" s="118">
        <v>0</v>
      </c>
    </row>
    <row r="24" s="33" customFormat="1" ht="41" customHeight="1" spans="1:13">
      <c r="A24" s="104" t="s">
        <v>27</v>
      </c>
      <c r="B24" s="102">
        <f t="shared" si="5"/>
        <v>75422</v>
      </c>
      <c r="C24" s="105">
        <v>45000</v>
      </c>
      <c r="D24" s="105">
        <v>30422</v>
      </c>
      <c r="E24" s="105">
        <f t="shared" si="16"/>
        <v>61310</v>
      </c>
      <c r="F24" s="105">
        <v>23500</v>
      </c>
      <c r="G24" s="105">
        <v>37810</v>
      </c>
      <c r="H24" s="105">
        <f t="shared" si="11"/>
        <v>-14112</v>
      </c>
      <c r="I24" s="105">
        <f t="shared" si="17"/>
        <v>-21500</v>
      </c>
      <c r="J24" s="105">
        <f t="shared" si="18"/>
        <v>7388</v>
      </c>
      <c r="K24" s="118">
        <f t="shared" si="20"/>
        <v>-18.7107210097849</v>
      </c>
      <c r="L24" s="118">
        <f t="shared" si="21"/>
        <v>-47.7777777777778</v>
      </c>
      <c r="M24" s="118">
        <f t="shared" si="19"/>
        <v>24.2850568667412</v>
      </c>
    </row>
    <row r="25" s="33" customFormat="1" ht="41" customHeight="1" spans="1:13">
      <c r="A25" s="104" t="s">
        <v>28</v>
      </c>
      <c r="B25" s="102">
        <f t="shared" si="5"/>
        <v>918.1335</v>
      </c>
      <c r="C25" s="105">
        <v>900</v>
      </c>
      <c r="D25" s="105">
        <v>18.1335</v>
      </c>
      <c r="E25" s="105">
        <f t="shared" si="16"/>
        <v>889</v>
      </c>
      <c r="F25" s="105">
        <v>850</v>
      </c>
      <c r="G25" s="105">
        <v>39</v>
      </c>
      <c r="H25" s="105">
        <f t="shared" si="11"/>
        <v>-29.1335</v>
      </c>
      <c r="I25" s="105">
        <f t="shared" si="17"/>
        <v>-50</v>
      </c>
      <c r="J25" s="105">
        <f t="shared" si="18"/>
        <v>20.8665</v>
      </c>
      <c r="K25" s="118">
        <f t="shared" si="20"/>
        <v>-3.17312242718515</v>
      </c>
      <c r="L25" s="118">
        <f t="shared" si="21"/>
        <v>-5.55555555555556</v>
      </c>
      <c r="M25" s="118">
        <f t="shared" si="19"/>
        <v>115.07155265117</v>
      </c>
    </row>
    <row r="26" s="33" customFormat="1" ht="41" customHeight="1" spans="1:13">
      <c r="A26" s="104" t="s">
        <v>29</v>
      </c>
      <c r="B26" s="102">
        <f t="shared" si="5"/>
        <v>35591</v>
      </c>
      <c r="C26" s="105">
        <v>30000</v>
      </c>
      <c r="D26" s="105">
        <v>5591</v>
      </c>
      <c r="E26" s="105">
        <f t="shared" si="16"/>
        <v>27772</v>
      </c>
      <c r="F26" s="105">
        <v>22500</v>
      </c>
      <c r="G26" s="105">
        <v>5272</v>
      </c>
      <c r="H26" s="105">
        <f t="shared" si="11"/>
        <v>-7819</v>
      </c>
      <c r="I26" s="105">
        <f t="shared" si="17"/>
        <v>-7500</v>
      </c>
      <c r="J26" s="105">
        <f t="shared" si="18"/>
        <v>-319</v>
      </c>
      <c r="K26" s="118">
        <f t="shared" si="20"/>
        <v>-21.9690371161249</v>
      </c>
      <c r="L26" s="118">
        <f t="shared" si="21"/>
        <v>-25</v>
      </c>
      <c r="M26" s="118">
        <f t="shared" si="19"/>
        <v>-5.70559828295475</v>
      </c>
    </row>
    <row r="27" s="33" customFormat="1" ht="41" customHeight="1" spans="1:13">
      <c r="A27" s="104" t="s">
        <v>30</v>
      </c>
      <c r="B27" s="102">
        <f t="shared" si="5"/>
        <v>23218</v>
      </c>
      <c r="C27" s="105">
        <v>15000</v>
      </c>
      <c r="D27" s="105">
        <v>8218</v>
      </c>
      <c r="E27" s="105">
        <f t="shared" si="16"/>
        <v>28697</v>
      </c>
      <c r="F27" s="105">
        <v>19500</v>
      </c>
      <c r="G27" s="105">
        <v>9197</v>
      </c>
      <c r="H27" s="105">
        <f t="shared" si="11"/>
        <v>5479</v>
      </c>
      <c r="I27" s="105">
        <f t="shared" si="17"/>
        <v>4500</v>
      </c>
      <c r="J27" s="105">
        <f t="shared" si="18"/>
        <v>979</v>
      </c>
      <c r="K27" s="118">
        <f t="shared" si="20"/>
        <v>23.5980704625721</v>
      </c>
      <c r="L27" s="118">
        <f t="shared" si="21"/>
        <v>30</v>
      </c>
      <c r="M27" s="118">
        <f t="shared" si="19"/>
        <v>11.9128741786323</v>
      </c>
    </row>
    <row r="28" s="33" customFormat="1" ht="41" customHeight="1" spans="1:13">
      <c r="A28" s="104" t="s">
        <v>31</v>
      </c>
      <c r="B28" s="102">
        <f t="shared" si="5"/>
        <v>10750</v>
      </c>
      <c r="C28" s="105">
        <v>8000</v>
      </c>
      <c r="D28" s="105">
        <v>2750</v>
      </c>
      <c r="E28" s="105">
        <f t="shared" si="16"/>
        <v>10413</v>
      </c>
      <c r="F28" s="105">
        <v>7400</v>
      </c>
      <c r="G28" s="105">
        <v>3013</v>
      </c>
      <c r="H28" s="105">
        <f t="shared" si="11"/>
        <v>-337</v>
      </c>
      <c r="I28" s="105">
        <f t="shared" si="17"/>
        <v>-600</v>
      </c>
      <c r="J28" s="105">
        <f t="shared" si="18"/>
        <v>263</v>
      </c>
      <c r="K28" s="118">
        <f t="shared" si="20"/>
        <v>-3.13488372093023</v>
      </c>
      <c r="L28" s="118">
        <f t="shared" si="21"/>
        <v>-7.5</v>
      </c>
      <c r="M28" s="118">
        <f t="shared" si="19"/>
        <v>9.56363636363636</v>
      </c>
    </row>
    <row r="29" s="33" customFormat="1" ht="41" customHeight="1" spans="1:13">
      <c r="A29" s="104" t="s">
        <v>32</v>
      </c>
      <c r="B29" s="102">
        <f t="shared" si="5"/>
        <v>6179.948</v>
      </c>
      <c r="C29" s="105">
        <v>5000</v>
      </c>
      <c r="D29" s="105">
        <v>1179.948</v>
      </c>
      <c r="E29" s="105">
        <f t="shared" si="16"/>
        <v>6602</v>
      </c>
      <c r="F29" s="105">
        <v>5000</v>
      </c>
      <c r="G29" s="105">
        <v>1602</v>
      </c>
      <c r="H29" s="105">
        <f t="shared" si="11"/>
        <v>422.052</v>
      </c>
      <c r="I29" s="105">
        <f t="shared" si="17"/>
        <v>0</v>
      </c>
      <c r="J29" s="105">
        <f t="shared" si="18"/>
        <v>422.052</v>
      </c>
      <c r="K29" s="118">
        <f t="shared" si="20"/>
        <v>6.82937785237028</v>
      </c>
      <c r="L29" s="118">
        <f t="shared" si="21"/>
        <v>0</v>
      </c>
      <c r="M29" s="118">
        <f t="shared" si="19"/>
        <v>35.7686948916393</v>
      </c>
    </row>
    <row r="30" s="33" customFormat="1" ht="41" customHeight="1" spans="1:13">
      <c r="A30" s="104" t="s">
        <v>33</v>
      </c>
      <c r="B30" s="102">
        <f t="shared" si="5"/>
        <v>110404</v>
      </c>
      <c r="C30" s="105">
        <v>97176</v>
      </c>
      <c r="D30" s="105">
        <v>13228</v>
      </c>
      <c r="E30" s="105">
        <f t="shared" si="16"/>
        <v>76475</v>
      </c>
      <c r="F30" s="105">
        <v>55699</v>
      </c>
      <c r="G30" s="105">
        <v>20776</v>
      </c>
      <c r="H30" s="105">
        <f t="shared" si="11"/>
        <v>-33929</v>
      </c>
      <c r="I30" s="105">
        <f t="shared" si="17"/>
        <v>-41477</v>
      </c>
      <c r="J30" s="105">
        <f t="shared" si="18"/>
        <v>7548</v>
      </c>
      <c r="K30" s="118">
        <f t="shared" si="20"/>
        <v>-30.7316763885366</v>
      </c>
      <c r="L30" s="118">
        <f t="shared" si="21"/>
        <v>-42.6823495513295</v>
      </c>
      <c r="M30" s="118">
        <f t="shared" si="19"/>
        <v>57.06078016329</v>
      </c>
    </row>
    <row r="31" s="34" customFormat="1" ht="41" customHeight="1" spans="1:13">
      <c r="A31" s="104" t="s">
        <v>34</v>
      </c>
      <c r="B31" s="102">
        <f t="shared" si="5"/>
        <v>5002.649969</v>
      </c>
      <c r="C31" s="105">
        <v>5000</v>
      </c>
      <c r="D31" s="105">
        <v>2.649969</v>
      </c>
      <c r="E31" s="105">
        <f t="shared" si="16"/>
        <v>2803.21</v>
      </c>
      <c r="F31" s="105">
        <v>2800</v>
      </c>
      <c r="G31" s="105">
        <v>3.21</v>
      </c>
      <c r="H31" s="105">
        <f t="shared" si="11"/>
        <v>-2199.439969</v>
      </c>
      <c r="I31" s="105">
        <f t="shared" si="17"/>
        <v>-2200</v>
      </c>
      <c r="J31" s="105">
        <f t="shared" si="18"/>
        <v>0.560031</v>
      </c>
      <c r="K31" s="118">
        <f t="shared" si="20"/>
        <v>-43.9654979386786</v>
      </c>
      <c r="L31" s="118">
        <f t="shared" si="21"/>
        <v>-44</v>
      </c>
      <c r="M31" s="118">
        <f t="shared" si="19"/>
        <v>21.1334925050067</v>
      </c>
    </row>
    <row r="32" s="33" customFormat="1" ht="41" customHeight="1" spans="1:13">
      <c r="A32" s="104" t="s">
        <v>35</v>
      </c>
      <c r="B32" s="102">
        <f t="shared" si="5"/>
        <v>5834</v>
      </c>
      <c r="C32" s="105">
        <v>5000</v>
      </c>
      <c r="D32" s="105">
        <v>834</v>
      </c>
      <c r="E32" s="105">
        <f t="shared" si="16"/>
        <v>2291</v>
      </c>
      <c r="F32" s="105">
        <v>1800</v>
      </c>
      <c r="G32" s="105">
        <v>491</v>
      </c>
      <c r="H32" s="105">
        <f t="shared" si="11"/>
        <v>-3543</v>
      </c>
      <c r="I32" s="105">
        <f t="shared" si="17"/>
        <v>-3200</v>
      </c>
      <c r="J32" s="105">
        <f t="shared" si="18"/>
        <v>-343</v>
      </c>
      <c r="K32" s="118">
        <f t="shared" si="20"/>
        <v>-60.7302022625986</v>
      </c>
      <c r="L32" s="118">
        <f t="shared" si="21"/>
        <v>-64</v>
      </c>
      <c r="M32" s="118">
        <f t="shared" si="19"/>
        <v>-41.1270983213429</v>
      </c>
    </row>
    <row r="33" s="33" customFormat="1" ht="41" customHeight="1" spans="1:13">
      <c r="A33" s="104" t="s">
        <v>36</v>
      </c>
      <c r="B33" s="102">
        <f t="shared" si="5"/>
        <v>61202</v>
      </c>
      <c r="C33" s="105">
        <v>40000</v>
      </c>
      <c r="D33" s="105">
        <v>21202</v>
      </c>
      <c r="E33" s="105">
        <f t="shared" si="16"/>
        <v>55529</v>
      </c>
      <c r="F33" s="105">
        <v>29500</v>
      </c>
      <c r="G33" s="105">
        <v>26029</v>
      </c>
      <c r="H33" s="105">
        <f t="shared" si="11"/>
        <v>-5673</v>
      </c>
      <c r="I33" s="105">
        <f t="shared" si="17"/>
        <v>-10500</v>
      </c>
      <c r="J33" s="105">
        <f t="shared" si="18"/>
        <v>4827</v>
      </c>
      <c r="K33" s="118">
        <f t="shared" si="20"/>
        <v>-9.26930492467566</v>
      </c>
      <c r="L33" s="118">
        <f t="shared" si="21"/>
        <v>-26.25</v>
      </c>
      <c r="M33" s="118">
        <f t="shared" si="19"/>
        <v>22.7667201207433</v>
      </c>
    </row>
    <row r="34" s="33" customFormat="1" ht="41" customHeight="1" spans="1:13">
      <c r="A34" s="104" t="s">
        <v>37</v>
      </c>
      <c r="B34" s="102">
        <f t="shared" si="5"/>
        <v>105.502</v>
      </c>
      <c r="C34" s="105">
        <v>100</v>
      </c>
      <c r="D34" s="105">
        <v>5.502</v>
      </c>
      <c r="E34" s="105">
        <f t="shared" si="16"/>
        <v>78</v>
      </c>
      <c r="F34" s="105">
        <v>70</v>
      </c>
      <c r="G34" s="105">
        <v>8</v>
      </c>
      <c r="H34" s="105">
        <f t="shared" si="11"/>
        <v>-27.502</v>
      </c>
      <c r="I34" s="105">
        <f t="shared" si="17"/>
        <v>-30</v>
      </c>
      <c r="J34" s="105">
        <f t="shared" si="18"/>
        <v>2.498</v>
      </c>
      <c r="K34" s="118">
        <f t="shared" si="20"/>
        <v>-26.0677522700991</v>
      </c>
      <c r="L34" s="118">
        <f t="shared" si="21"/>
        <v>-30</v>
      </c>
      <c r="M34" s="118">
        <v>0</v>
      </c>
    </row>
    <row r="35" s="33" customFormat="1" ht="41" customHeight="1" spans="1:13">
      <c r="A35" s="104" t="s">
        <v>38</v>
      </c>
      <c r="B35" s="102">
        <f t="shared" si="5"/>
        <v>30066</v>
      </c>
      <c r="C35" s="105">
        <v>30066</v>
      </c>
      <c r="D35" s="105">
        <v>0</v>
      </c>
      <c r="E35" s="105">
        <f t="shared" si="16"/>
        <v>32000</v>
      </c>
      <c r="F35" s="105">
        <v>32000</v>
      </c>
      <c r="G35" s="105">
        <v>0</v>
      </c>
      <c r="H35" s="105">
        <f t="shared" si="11"/>
        <v>1934</v>
      </c>
      <c r="I35" s="105">
        <f t="shared" si="17"/>
        <v>1934</v>
      </c>
      <c r="J35" s="105">
        <f t="shared" si="18"/>
        <v>0</v>
      </c>
      <c r="K35" s="118">
        <f t="shared" si="20"/>
        <v>6.43251513337325</v>
      </c>
      <c r="L35" s="118">
        <f t="shared" si="21"/>
        <v>6.43251513337325</v>
      </c>
      <c r="M35" s="118">
        <v>0</v>
      </c>
    </row>
    <row r="36" s="34" customFormat="1" ht="41" customHeight="1" spans="1:13">
      <c r="A36" s="101" t="s">
        <v>39</v>
      </c>
      <c r="B36" s="102">
        <f t="shared" si="5"/>
        <v>200114</v>
      </c>
      <c r="C36" s="102">
        <f>C37+C38+C39+C47+C48+C49+C50+C51</f>
        <v>150000</v>
      </c>
      <c r="D36" s="102">
        <f>D37+D38+D39+D47+D48+D49+D50+D51</f>
        <v>50114</v>
      </c>
      <c r="E36" s="102">
        <f t="shared" ref="E36:J36" si="22">E37++E38+E39+E47+E48+E49+E50+E51</f>
        <v>330497.93</v>
      </c>
      <c r="F36" s="102">
        <f>F37+F38+F39+F47+F48+F49+F50+F51</f>
        <v>278974</v>
      </c>
      <c r="G36" s="102">
        <f>G37+G38+G39+G47+G48+G49+G50+G51</f>
        <v>51523.93</v>
      </c>
      <c r="H36" s="102">
        <f t="shared" si="22"/>
        <v>144383.6745</v>
      </c>
      <c r="I36" s="102">
        <f t="shared" si="22"/>
        <v>142974</v>
      </c>
      <c r="J36" s="102">
        <f t="shared" si="22"/>
        <v>1409.6745</v>
      </c>
      <c r="K36" s="117">
        <f t="shared" si="20"/>
        <v>72.1507113445336</v>
      </c>
      <c r="L36" s="117">
        <f t="shared" si="21"/>
        <v>85.9826666666667</v>
      </c>
      <c r="M36" s="117">
        <f t="shared" ref="M36:M43" si="23">(J36/D36)*100</f>
        <v>2.81293550704394</v>
      </c>
    </row>
    <row r="37" s="33" customFormat="1" ht="41" customHeight="1" spans="1:13">
      <c r="A37" s="104" t="s">
        <v>40</v>
      </c>
      <c r="B37" s="102">
        <f t="shared" si="5"/>
        <v>3002</v>
      </c>
      <c r="C37" s="105">
        <v>2000</v>
      </c>
      <c r="D37" s="105">
        <v>1002</v>
      </c>
      <c r="E37" s="105">
        <f t="shared" ref="E37:E62" si="24">F37+G37</f>
        <v>9918.58</v>
      </c>
      <c r="F37" s="105">
        <v>7000</v>
      </c>
      <c r="G37" s="105">
        <v>2918.58</v>
      </c>
      <c r="H37" s="105">
        <f t="shared" ref="H37:H61" si="25">I37+J37</f>
        <v>6916.58</v>
      </c>
      <c r="I37" s="105">
        <f t="shared" ref="I37:I62" si="26">F37-C37</f>
        <v>5000</v>
      </c>
      <c r="J37" s="105">
        <f>G37-D37</f>
        <v>1916.58</v>
      </c>
      <c r="K37" s="118">
        <f t="shared" si="20"/>
        <v>230.399067288474</v>
      </c>
      <c r="L37" s="118">
        <f t="shared" si="21"/>
        <v>250</v>
      </c>
      <c r="M37" s="118">
        <f t="shared" si="23"/>
        <v>191.275449101796</v>
      </c>
    </row>
    <row r="38" s="33" customFormat="1" ht="41" customHeight="1" spans="1:13">
      <c r="A38" s="104" t="s">
        <v>41</v>
      </c>
      <c r="B38" s="102">
        <f t="shared" ref="B38:B61" si="27">C38+D38</f>
        <v>6000</v>
      </c>
      <c r="C38" s="105">
        <v>3000</v>
      </c>
      <c r="D38" s="105">
        <v>3000</v>
      </c>
      <c r="E38" s="105">
        <f t="shared" si="24"/>
        <v>7406.23</v>
      </c>
      <c r="F38" s="105">
        <v>6963</v>
      </c>
      <c r="G38" s="105">
        <v>443.23</v>
      </c>
      <c r="H38" s="105">
        <f t="shared" si="25"/>
        <v>1406.23</v>
      </c>
      <c r="I38" s="105">
        <f t="shared" si="26"/>
        <v>3963</v>
      </c>
      <c r="J38" s="105">
        <f>G38-D38</f>
        <v>-2556.77</v>
      </c>
      <c r="K38" s="118">
        <f t="shared" si="20"/>
        <v>23.4371666666667</v>
      </c>
      <c r="L38" s="118">
        <f t="shared" si="21"/>
        <v>132.1</v>
      </c>
      <c r="M38" s="118">
        <f t="shared" si="23"/>
        <v>-85.2256666666667</v>
      </c>
    </row>
    <row r="39" s="33" customFormat="1" ht="41" customHeight="1" spans="1:13">
      <c r="A39" s="104" t="s">
        <v>42</v>
      </c>
      <c r="B39" s="102">
        <f t="shared" si="27"/>
        <v>87994</v>
      </c>
      <c r="C39" s="105">
        <v>50000</v>
      </c>
      <c r="D39" s="105">
        <v>37994</v>
      </c>
      <c r="E39" s="105">
        <f t="shared" ref="E39:J39" si="28">E40+E41+E42+E43+E44+E45+E46</f>
        <v>122531.99</v>
      </c>
      <c r="F39" s="105">
        <f t="shared" si="28"/>
        <v>99904</v>
      </c>
      <c r="G39" s="105">
        <f t="shared" si="28"/>
        <v>22627.99</v>
      </c>
      <c r="H39" s="105">
        <f t="shared" si="25"/>
        <v>48537.7345</v>
      </c>
      <c r="I39" s="105">
        <f t="shared" si="28"/>
        <v>63904</v>
      </c>
      <c r="J39" s="105">
        <f t="shared" si="28"/>
        <v>-15366.2655</v>
      </c>
      <c r="K39" s="118">
        <f t="shared" si="20"/>
        <v>55.1602774052776</v>
      </c>
      <c r="L39" s="118">
        <f t="shared" si="21"/>
        <v>99.808</v>
      </c>
      <c r="M39" s="118">
        <f t="shared" si="23"/>
        <v>-40.4439266726325</v>
      </c>
    </row>
    <row r="40" s="33" customFormat="1" ht="41" customHeight="1" spans="1:13">
      <c r="A40" s="104" t="s">
        <v>43</v>
      </c>
      <c r="B40" s="102">
        <f t="shared" si="27"/>
        <v>13299.394</v>
      </c>
      <c r="C40" s="105">
        <v>10000</v>
      </c>
      <c r="D40" s="105">
        <v>3299.394</v>
      </c>
      <c r="E40" s="105">
        <f t="shared" si="24"/>
        <v>17222.36</v>
      </c>
      <c r="F40" s="105">
        <v>14000</v>
      </c>
      <c r="G40" s="105">
        <v>3222.36</v>
      </c>
      <c r="H40" s="105">
        <f t="shared" si="25"/>
        <v>3922.966</v>
      </c>
      <c r="I40" s="105">
        <f t="shared" si="26"/>
        <v>4000</v>
      </c>
      <c r="J40" s="105">
        <f t="shared" ref="J37:J62" si="29">G40-D40</f>
        <v>-77.0339999999997</v>
      </c>
      <c r="K40" s="118">
        <f t="shared" si="20"/>
        <v>29.4973289760421</v>
      </c>
      <c r="L40" s="118">
        <f t="shared" si="21"/>
        <v>40</v>
      </c>
      <c r="M40" s="118">
        <f t="shared" si="23"/>
        <v>-2.33479238914781</v>
      </c>
    </row>
    <row r="41" s="33" customFormat="1" ht="41" customHeight="1" spans="1:13">
      <c r="A41" s="104" t="s">
        <v>44</v>
      </c>
      <c r="B41" s="102">
        <f t="shared" si="27"/>
        <v>2304.069</v>
      </c>
      <c r="C41" s="105">
        <v>1500</v>
      </c>
      <c r="D41" s="105">
        <v>804.069</v>
      </c>
      <c r="E41" s="105">
        <f t="shared" si="24"/>
        <v>2400.63</v>
      </c>
      <c r="F41" s="105">
        <v>1700</v>
      </c>
      <c r="G41" s="105">
        <v>700.63</v>
      </c>
      <c r="H41" s="105">
        <f t="shared" si="25"/>
        <v>96.561</v>
      </c>
      <c r="I41" s="105">
        <f t="shared" si="26"/>
        <v>200</v>
      </c>
      <c r="J41" s="105">
        <f t="shared" si="29"/>
        <v>-103.439</v>
      </c>
      <c r="K41" s="118">
        <f t="shared" si="20"/>
        <v>4.19089011657203</v>
      </c>
      <c r="L41" s="118">
        <f t="shared" si="21"/>
        <v>13.3333333333333</v>
      </c>
      <c r="M41" s="118">
        <f t="shared" si="23"/>
        <v>-12.8644432256436</v>
      </c>
    </row>
    <row r="42" s="33" customFormat="1" ht="41" customHeight="1" spans="1:13">
      <c r="A42" s="104" t="s">
        <v>45</v>
      </c>
      <c r="B42" s="102">
        <f t="shared" si="27"/>
        <v>25350</v>
      </c>
      <c r="C42" s="105">
        <v>10000</v>
      </c>
      <c r="D42" s="105">
        <v>15350</v>
      </c>
      <c r="E42" s="105">
        <f t="shared" si="24"/>
        <v>48264</v>
      </c>
      <c r="F42" s="105">
        <v>39802</v>
      </c>
      <c r="G42" s="105">
        <v>8462</v>
      </c>
      <c r="H42" s="105">
        <f t="shared" si="25"/>
        <v>22914</v>
      </c>
      <c r="I42" s="105">
        <f t="shared" si="26"/>
        <v>29802</v>
      </c>
      <c r="J42" s="105">
        <f t="shared" si="29"/>
        <v>-6888</v>
      </c>
      <c r="K42" s="118">
        <f t="shared" si="20"/>
        <v>90.3905325443787</v>
      </c>
      <c r="L42" s="118">
        <f t="shared" si="21"/>
        <v>298.02</v>
      </c>
      <c r="M42" s="118">
        <f t="shared" si="23"/>
        <v>-44.8729641693811</v>
      </c>
    </row>
    <row r="43" s="34" customFormat="1" ht="41" customHeight="1" spans="1:13">
      <c r="A43" s="104" t="s">
        <v>46</v>
      </c>
      <c r="B43" s="102">
        <f t="shared" si="27"/>
        <v>25350</v>
      </c>
      <c r="C43" s="105">
        <v>10000</v>
      </c>
      <c r="D43" s="105">
        <v>15350</v>
      </c>
      <c r="E43" s="105">
        <f t="shared" si="24"/>
        <v>48264</v>
      </c>
      <c r="F43" s="105">
        <v>39802</v>
      </c>
      <c r="G43" s="105">
        <v>8462</v>
      </c>
      <c r="H43" s="105">
        <f t="shared" si="25"/>
        <v>22914</v>
      </c>
      <c r="I43" s="105">
        <f t="shared" si="26"/>
        <v>29802</v>
      </c>
      <c r="J43" s="105">
        <f t="shared" si="29"/>
        <v>-6888</v>
      </c>
      <c r="K43" s="118">
        <f t="shared" si="20"/>
        <v>90.3905325443787</v>
      </c>
      <c r="L43" s="118">
        <f t="shared" si="21"/>
        <v>298.02</v>
      </c>
      <c r="M43" s="118">
        <f t="shared" si="23"/>
        <v>-44.8729641693811</v>
      </c>
    </row>
    <row r="44" s="33" customFormat="1" ht="41" customHeight="1" spans="1:13">
      <c r="A44" s="104" t="s">
        <v>47</v>
      </c>
      <c r="B44" s="102">
        <f t="shared" si="27"/>
        <v>3190.7925</v>
      </c>
      <c r="C44" s="105">
        <v>0</v>
      </c>
      <c r="D44" s="105">
        <v>3190.7925</v>
      </c>
      <c r="E44" s="105">
        <f t="shared" si="24"/>
        <v>1600</v>
      </c>
      <c r="F44" s="105">
        <v>1600</v>
      </c>
      <c r="G44" s="105"/>
      <c r="H44" s="105">
        <f t="shared" si="25"/>
        <v>-1590.7925</v>
      </c>
      <c r="I44" s="105">
        <f t="shared" si="26"/>
        <v>1600</v>
      </c>
      <c r="J44" s="105">
        <f t="shared" si="29"/>
        <v>-3190.7925</v>
      </c>
      <c r="K44" s="118">
        <f t="shared" si="20"/>
        <v>-49.8557176626183</v>
      </c>
      <c r="L44" s="118">
        <v>0</v>
      </c>
      <c r="M44" s="118">
        <v>0</v>
      </c>
    </row>
    <row r="45" s="33" customFormat="1" ht="41" customHeight="1" spans="1:13">
      <c r="A45" s="104" t="s">
        <v>48</v>
      </c>
      <c r="B45" s="102">
        <f t="shared" si="27"/>
        <v>500</v>
      </c>
      <c r="C45" s="105">
        <v>500</v>
      </c>
      <c r="D45" s="107">
        <v>0</v>
      </c>
      <c r="E45" s="105">
        <f t="shared" si="24"/>
        <v>4781</v>
      </c>
      <c r="F45" s="105">
        <v>3000</v>
      </c>
      <c r="G45" s="105">
        <v>1781</v>
      </c>
      <c r="H45" s="105">
        <f t="shared" si="25"/>
        <v>4281</v>
      </c>
      <c r="I45" s="105">
        <f t="shared" si="26"/>
        <v>2500</v>
      </c>
      <c r="J45" s="105">
        <f t="shared" si="29"/>
        <v>1781</v>
      </c>
      <c r="K45" s="118">
        <f t="shared" si="20"/>
        <v>856.2</v>
      </c>
      <c r="L45" s="118">
        <f t="shared" si="21"/>
        <v>500</v>
      </c>
      <c r="M45" s="118">
        <v>0</v>
      </c>
    </row>
    <row r="46" s="33" customFormat="1" ht="41" customHeight="1" spans="1:13">
      <c r="A46" s="104" t="s">
        <v>49</v>
      </c>
      <c r="B46" s="102">
        <f t="shared" si="27"/>
        <v>4000</v>
      </c>
      <c r="C46" s="105">
        <v>4000</v>
      </c>
      <c r="D46" s="105">
        <v>0</v>
      </c>
      <c r="E46" s="105">
        <f t="shared" si="24"/>
        <v>0</v>
      </c>
      <c r="F46" s="105">
        <v>0</v>
      </c>
      <c r="G46" s="105">
        <v>0</v>
      </c>
      <c r="H46" s="105">
        <f t="shared" si="25"/>
        <v>-4000</v>
      </c>
      <c r="I46" s="105">
        <f t="shared" si="26"/>
        <v>-4000</v>
      </c>
      <c r="J46" s="105">
        <f t="shared" si="29"/>
        <v>0</v>
      </c>
      <c r="K46" s="118">
        <v>0</v>
      </c>
      <c r="L46" s="118">
        <v>0</v>
      </c>
      <c r="M46" s="118">
        <v>0</v>
      </c>
    </row>
    <row r="47" s="33" customFormat="1" ht="41" customHeight="1" spans="1:13">
      <c r="A47" s="104" t="s">
        <v>50</v>
      </c>
      <c r="B47" s="102">
        <f t="shared" si="27"/>
        <v>4677</v>
      </c>
      <c r="C47" s="105">
        <v>4677</v>
      </c>
      <c r="D47" s="105">
        <v>0</v>
      </c>
      <c r="E47" s="105">
        <f t="shared" si="24"/>
        <v>30034.13</v>
      </c>
      <c r="F47" s="105">
        <v>4500</v>
      </c>
      <c r="G47" s="105">
        <v>25534.13</v>
      </c>
      <c r="H47" s="105">
        <f t="shared" si="25"/>
        <v>25357.13</v>
      </c>
      <c r="I47" s="105">
        <f t="shared" si="26"/>
        <v>-177</v>
      </c>
      <c r="J47" s="105">
        <f t="shared" si="29"/>
        <v>25534.13</v>
      </c>
      <c r="K47" s="118">
        <f t="shared" ref="K47:K50" si="30">H47/B47*100</f>
        <v>542.16655976053</v>
      </c>
      <c r="L47" s="118">
        <f t="shared" ref="L47:L50" si="31">(F47-C47)/C47*100</f>
        <v>-3.78447722899294</v>
      </c>
      <c r="M47" s="118">
        <v>0</v>
      </c>
    </row>
    <row r="48" s="33" customFormat="1" ht="41" customHeight="1" spans="1:13">
      <c r="A48" s="104" t="s">
        <v>51</v>
      </c>
      <c r="B48" s="102">
        <f t="shared" si="27"/>
        <v>98118</v>
      </c>
      <c r="C48" s="105">
        <v>90000</v>
      </c>
      <c r="D48" s="105">
        <v>8118</v>
      </c>
      <c r="E48" s="105">
        <f t="shared" si="24"/>
        <v>160000</v>
      </c>
      <c r="F48" s="105">
        <v>160000</v>
      </c>
      <c r="G48" s="105">
        <v>0</v>
      </c>
      <c r="H48" s="105">
        <f t="shared" si="25"/>
        <v>61882</v>
      </c>
      <c r="I48" s="105">
        <f t="shared" si="26"/>
        <v>70000</v>
      </c>
      <c r="J48" s="105">
        <f t="shared" si="29"/>
        <v>-8118</v>
      </c>
      <c r="K48" s="118">
        <f t="shared" si="30"/>
        <v>63.0689577855236</v>
      </c>
      <c r="L48" s="118">
        <f t="shared" si="31"/>
        <v>77.7777777777778</v>
      </c>
      <c r="M48" s="118">
        <f>(J48/D48)*100</f>
        <v>-100</v>
      </c>
    </row>
    <row r="49" s="33" customFormat="1" ht="41" customHeight="1" spans="1:13">
      <c r="A49" s="104" t="s">
        <v>52</v>
      </c>
      <c r="B49" s="102">
        <f t="shared" si="27"/>
        <v>20</v>
      </c>
      <c r="C49" s="105">
        <v>20</v>
      </c>
      <c r="D49" s="105">
        <v>0</v>
      </c>
      <c r="E49" s="105">
        <f t="shared" si="24"/>
        <v>0</v>
      </c>
      <c r="F49" s="105">
        <v>0</v>
      </c>
      <c r="G49" s="105">
        <v>0</v>
      </c>
      <c r="H49" s="105">
        <f t="shared" si="25"/>
        <v>-20</v>
      </c>
      <c r="I49" s="105">
        <f t="shared" si="26"/>
        <v>-20</v>
      </c>
      <c r="J49" s="105">
        <f t="shared" si="29"/>
        <v>0</v>
      </c>
      <c r="K49" s="118">
        <f t="shared" si="30"/>
        <v>-100</v>
      </c>
      <c r="L49" s="118">
        <f t="shared" si="31"/>
        <v>-100</v>
      </c>
      <c r="M49" s="118">
        <v>0</v>
      </c>
    </row>
    <row r="50" s="33" customFormat="1" ht="41" customHeight="1" spans="1:13">
      <c r="A50" s="104" t="s">
        <v>53</v>
      </c>
      <c r="B50" s="102">
        <f t="shared" si="27"/>
        <v>300</v>
      </c>
      <c r="C50" s="105">
        <v>300</v>
      </c>
      <c r="D50" s="105">
        <v>0</v>
      </c>
      <c r="E50" s="105">
        <f t="shared" si="24"/>
        <v>600</v>
      </c>
      <c r="F50" s="105">
        <v>600</v>
      </c>
      <c r="G50" s="105">
        <v>0</v>
      </c>
      <c r="H50" s="105">
        <f t="shared" si="25"/>
        <v>300</v>
      </c>
      <c r="I50" s="105">
        <f t="shared" si="26"/>
        <v>300</v>
      </c>
      <c r="J50" s="105">
        <f t="shared" si="29"/>
        <v>0</v>
      </c>
      <c r="K50" s="118">
        <f t="shared" si="30"/>
        <v>100</v>
      </c>
      <c r="L50" s="118">
        <f t="shared" si="31"/>
        <v>100</v>
      </c>
      <c r="M50" s="118">
        <v>0</v>
      </c>
    </row>
    <row r="51" s="33" customFormat="1" ht="41" customHeight="1" spans="1:13">
      <c r="A51" s="104" t="s">
        <v>54</v>
      </c>
      <c r="B51" s="102">
        <f t="shared" si="27"/>
        <v>3</v>
      </c>
      <c r="C51" s="105">
        <v>3</v>
      </c>
      <c r="D51" s="105">
        <v>0</v>
      </c>
      <c r="E51" s="105">
        <f t="shared" si="24"/>
        <v>7</v>
      </c>
      <c r="F51" s="105">
        <v>7</v>
      </c>
      <c r="G51" s="105">
        <v>0</v>
      </c>
      <c r="H51" s="105">
        <f t="shared" si="25"/>
        <v>4</v>
      </c>
      <c r="I51" s="105">
        <f t="shared" si="26"/>
        <v>4</v>
      </c>
      <c r="J51" s="105">
        <f t="shared" si="29"/>
        <v>0</v>
      </c>
      <c r="K51" s="118">
        <v>0</v>
      </c>
      <c r="L51" s="118">
        <v>0</v>
      </c>
      <c r="M51" s="118">
        <v>0</v>
      </c>
    </row>
    <row r="52" s="33" customFormat="1" ht="41" customHeight="1" spans="1:13">
      <c r="A52" s="101" t="s">
        <v>55</v>
      </c>
      <c r="B52" s="102">
        <f t="shared" si="27"/>
        <v>0</v>
      </c>
      <c r="C52" s="105">
        <v>0</v>
      </c>
      <c r="D52" s="105">
        <v>0</v>
      </c>
      <c r="E52" s="105">
        <f t="shared" si="24"/>
        <v>0</v>
      </c>
      <c r="F52" s="105">
        <v>0</v>
      </c>
      <c r="G52" s="105">
        <v>0</v>
      </c>
      <c r="H52" s="105">
        <f t="shared" si="25"/>
        <v>0</v>
      </c>
      <c r="I52" s="105">
        <f t="shared" si="26"/>
        <v>0</v>
      </c>
      <c r="J52" s="105">
        <f t="shared" si="29"/>
        <v>0</v>
      </c>
      <c r="K52" s="118">
        <v>0</v>
      </c>
      <c r="L52" s="118">
        <v>0</v>
      </c>
      <c r="M52" s="118">
        <v>0</v>
      </c>
    </row>
    <row r="53" s="33" customFormat="1" ht="35" customHeight="1" spans="1:20">
      <c r="A53" s="101" t="s">
        <v>56</v>
      </c>
      <c r="B53" s="102">
        <f t="shared" si="27"/>
        <v>1917800</v>
      </c>
      <c r="C53" s="105">
        <f>C54+C58</f>
        <v>1500000</v>
      </c>
      <c r="D53" s="105">
        <f>D54+D58</f>
        <v>417800</v>
      </c>
      <c r="E53" s="105">
        <f t="shared" si="24"/>
        <v>889424.24427</v>
      </c>
      <c r="F53" s="108">
        <f>F54+F58</f>
        <v>599999.51427</v>
      </c>
      <c r="G53" s="108">
        <f>G54+G58</f>
        <v>289424.73</v>
      </c>
      <c r="H53" s="105">
        <f t="shared" si="25"/>
        <v>-1028375.75573</v>
      </c>
      <c r="I53" s="105">
        <f t="shared" si="26"/>
        <v>-900000.48573</v>
      </c>
      <c r="J53" s="105">
        <f t="shared" si="29"/>
        <v>-128375.27</v>
      </c>
      <c r="K53" s="118">
        <f t="shared" ref="K53:K60" si="32">H53/B53*100</f>
        <v>-53.6226799316926</v>
      </c>
      <c r="L53" s="118">
        <f t="shared" ref="L53:L60" si="33">(F53-C53)/C53*100</f>
        <v>-60.000032382</v>
      </c>
      <c r="M53" s="118">
        <f t="shared" ref="M53:M56" si="34">(J53/D53)*100</f>
        <v>-30.7264887505984</v>
      </c>
      <c r="N53" s="33">
        <v>1045046</v>
      </c>
      <c r="O53" s="33">
        <f>F53/N53</f>
        <v>0.574136941598743</v>
      </c>
      <c r="R53" s="119"/>
      <c r="S53" s="119"/>
      <c r="T53" s="119"/>
    </row>
    <row r="54" s="33" customFormat="1" ht="35" customHeight="1" spans="1:20">
      <c r="A54" s="104" t="s">
        <v>57</v>
      </c>
      <c r="B54" s="102">
        <f t="shared" si="27"/>
        <v>1905300</v>
      </c>
      <c r="C54" s="105">
        <f>SUM(C55:C57)</f>
        <v>1490000</v>
      </c>
      <c r="D54" s="105">
        <f>SUM(D55:D57)</f>
        <v>415300</v>
      </c>
      <c r="E54" s="105">
        <f t="shared" si="24"/>
        <v>879781.51427</v>
      </c>
      <c r="F54" s="108">
        <f>SUM(F55:F57)</f>
        <v>591299.51427</v>
      </c>
      <c r="G54" s="108">
        <f>SUM(G55:G57)</f>
        <v>288482</v>
      </c>
      <c r="H54" s="105">
        <f t="shared" si="25"/>
        <v>-1025518.48573</v>
      </c>
      <c r="I54" s="105">
        <f t="shared" si="26"/>
        <v>-898700.48573</v>
      </c>
      <c r="J54" s="105">
        <f t="shared" si="29"/>
        <v>-126818</v>
      </c>
      <c r="K54" s="118">
        <f t="shared" si="32"/>
        <v>-53.8245150753162</v>
      </c>
      <c r="L54" s="118">
        <f t="shared" si="33"/>
        <v>-60.3154688409396</v>
      </c>
      <c r="M54" s="118">
        <f t="shared" si="34"/>
        <v>-30.5364796532627</v>
      </c>
      <c r="N54" s="33">
        <v>1033986</v>
      </c>
      <c r="O54" s="33">
        <f>F54/N54</f>
        <v>0.571864139620846</v>
      </c>
      <c r="R54" s="119"/>
      <c r="S54" s="119"/>
      <c r="T54" s="119"/>
    </row>
    <row r="55" s="33" customFormat="1" ht="35" customHeight="1" spans="1:13">
      <c r="A55" s="104" t="s">
        <v>58</v>
      </c>
      <c r="B55" s="102">
        <f t="shared" si="27"/>
        <v>1766540</v>
      </c>
      <c r="C55" s="105">
        <v>1364000</v>
      </c>
      <c r="D55" s="105">
        <v>402540</v>
      </c>
      <c r="E55" s="105">
        <f t="shared" si="24"/>
        <v>859072.93077</v>
      </c>
      <c r="F55" s="105">
        <f>457583.93077+10800+122307-20100</f>
        <v>570590.93077</v>
      </c>
      <c r="G55" s="105">
        <v>288482</v>
      </c>
      <c r="H55" s="105">
        <f t="shared" si="25"/>
        <v>-907467.06923</v>
      </c>
      <c r="I55" s="105">
        <f t="shared" si="26"/>
        <v>-793409.06923</v>
      </c>
      <c r="J55" s="105">
        <f t="shared" si="29"/>
        <v>-114058</v>
      </c>
      <c r="K55" s="118">
        <f t="shared" si="32"/>
        <v>-51.3697436361475</v>
      </c>
      <c r="L55" s="118">
        <f t="shared" si="33"/>
        <v>-58.1678203247801</v>
      </c>
      <c r="M55" s="118">
        <f t="shared" si="34"/>
        <v>-28.3345754459184</v>
      </c>
    </row>
    <row r="56" s="33" customFormat="1" ht="35" customHeight="1" spans="1:13">
      <c r="A56" s="104" t="s">
        <v>59</v>
      </c>
      <c r="B56" s="102">
        <f t="shared" si="27"/>
        <v>137460</v>
      </c>
      <c r="C56" s="105">
        <v>125000</v>
      </c>
      <c r="D56" s="105">
        <v>12460</v>
      </c>
      <c r="E56" s="105">
        <f t="shared" si="24"/>
        <v>20100</v>
      </c>
      <c r="F56" s="105">
        <v>20100</v>
      </c>
      <c r="G56" s="105">
        <v>0</v>
      </c>
      <c r="H56" s="105">
        <f t="shared" si="25"/>
        <v>-117360</v>
      </c>
      <c r="I56" s="105">
        <f t="shared" si="26"/>
        <v>-104900</v>
      </c>
      <c r="J56" s="105">
        <f t="shared" si="29"/>
        <v>-12460</v>
      </c>
      <c r="K56" s="118">
        <f t="shared" si="32"/>
        <v>-85.3775643823658</v>
      </c>
      <c r="L56" s="118">
        <f t="shared" si="33"/>
        <v>-83.92</v>
      </c>
      <c r="M56" s="118">
        <f t="shared" si="34"/>
        <v>-100</v>
      </c>
    </row>
    <row r="57" s="33" customFormat="1" ht="35" customHeight="1" spans="1:13">
      <c r="A57" s="104" t="s">
        <v>60</v>
      </c>
      <c r="B57" s="102">
        <f t="shared" si="27"/>
        <v>1300</v>
      </c>
      <c r="C57" s="105">
        <v>1000</v>
      </c>
      <c r="D57" s="105">
        <v>300</v>
      </c>
      <c r="E57" s="105">
        <f t="shared" si="24"/>
        <v>608.5835</v>
      </c>
      <c r="F57" s="105">
        <v>608.5835</v>
      </c>
      <c r="G57" s="105">
        <v>0</v>
      </c>
      <c r="H57" s="105">
        <f t="shared" si="25"/>
        <v>-691.4165</v>
      </c>
      <c r="I57" s="105">
        <f t="shared" si="26"/>
        <v>-391.4165</v>
      </c>
      <c r="J57" s="105">
        <f t="shared" si="29"/>
        <v>-300</v>
      </c>
      <c r="K57" s="118">
        <f t="shared" si="32"/>
        <v>-53.1858846153846</v>
      </c>
      <c r="L57" s="118">
        <f t="shared" si="33"/>
        <v>-39.14165</v>
      </c>
      <c r="M57" s="118">
        <v>0</v>
      </c>
    </row>
    <row r="58" s="33" customFormat="1" ht="35" customHeight="1" spans="1:13">
      <c r="A58" s="104" t="s">
        <v>61</v>
      </c>
      <c r="B58" s="102">
        <f t="shared" si="27"/>
        <v>12500</v>
      </c>
      <c r="C58" s="108">
        <f>SUM(C59:C61)</f>
        <v>10000</v>
      </c>
      <c r="D58" s="108">
        <f>SUM(D59:D61)</f>
        <v>2500</v>
      </c>
      <c r="E58" s="105">
        <f t="shared" si="24"/>
        <v>9642.73</v>
      </c>
      <c r="F58" s="108">
        <f>SUM(F59:F61)</f>
        <v>8700</v>
      </c>
      <c r="G58" s="108">
        <f>SUM(G59:G61)</f>
        <v>942.73</v>
      </c>
      <c r="H58" s="105">
        <f t="shared" si="25"/>
        <v>-2857.27</v>
      </c>
      <c r="I58" s="105">
        <f t="shared" si="26"/>
        <v>-1300</v>
      </c>
      <c r="J58" s="105">
        <f t="shared" si="29"/>
        <v>-1557.27</v>
      </c>
      <c r="K58" s="118">
        <f t="shared" si="32"/>
        <v>-22.85816</v>
      </c>
      <c r="L58" s="118">
        <f t="shared" si="33"/>
        <v>-13</v>
      </c>
      <c r="M58" s="118">
        <f>(J58/D58)*100</f>
        <v>-62.2908</v>
      </c>
    </row>
    <row r="59" s="33" customFormat="1" ht="35" customHeight="1" spans="1:13">
      <c r="A59" s="104" t="s">
        <v>62</v>
      </c>
      <c r="B59" s="102">
        <f t="shared" si="27"/>
        <v>7500</v>
      </c>
      <c r="C59" s="105">
        <v>5000</v>
      </c>
      <c r="D59" s="105">
        <v>2500</v>
      </c>
      <c r="E59" s="105">
        <f t="shared" si="24"/>
        <v>4442.73</v>
      </c>
      <c r="F59" s="105">
        <v>3500</v>
      </c>
      <c r="G59" s="105">
        <v>942.73</v>
      </c>
      <c r="H59" s="105">
        <f t="shared" si="25"/>
        <v>-3057.27</v>
      </c>
      <c r="I59" s="105">
        <f t="shared" si="26"/>
        <v>-1500</v>
      </c>
      <c r="J59" s="105">
        <f t="shared" si="29"/>
        <v>-1557.27</v>
      </c>
      <c r="K59" s="118">
        <f t="shared" si="32"/>
        <v>-40.7636</v>
      </c>
      <c r="L59" s="118">
        <f t="shared" si="33"/>
        <v>-30</v>
      </c>
      <c r="M59" s="118">
        <f>(J59/D59)*100</f>
        <v>-62.2908</v>
      </c>
    </row>
    <row r="60" s="34" customFormat="1" ht="35" customHeight="1" spans="1:13">
      <c r="A60" s="104" t="s">
        <v>63</v>
      </c>
      <c r="B60" s="102">
        <f t="shared" si="27"/>
        <v>1000</v>
      </c>
      <c r="C60" s="105">
        <v>1000</v>
      </c>
      <c r="D60" s="105">
        <v>0</v>
      </c>
      <c r="E60" s="105">
        <f t="shared" si="24"/>
        <v>1200</v>
      </c>
      <c r="F60" s="105">
        <v>1200</v>
      </c>
      <c r="G60" s="105">
        <v>0</v>
      </c>
      <c r="H60" s="105">
        <f t="shared" si="25"/>
        <v>200</v>
      </c>
      <c r="I60" s="105">
        <f t="shared" si="26"/>
        <v>200</v>
      </c>
      <c r="J60" s="105">
        <f t="shared" si="29"/>
        <v>0</v>
      </c>
      <c r="K60" s="118">
        <f t="shared" si="32"/>
        <v>20</v>
      </c>
      <c r="L60" s="118">
        <f t="shared" si="33"/>
        <v>20</v>
      </c>
      <c r="M60" s="118">
        <v>0</v>
      </c>
    </row>
    <row r="61" s="34" customFormat="1" ht="35" customHeight="1" spans="1:13">
      <c r="A61" s="104" t="s">
        <v>64</v>
      </c>
      <c r="B61" s="102">
        <f t="shared" si="27"/>
        <v>4000</v>
      </c>
      <c r="C61" s="105">
        <v>4000</v>
      </c>
      <c r="D61" s="105">
        <v>0</v>
      </c>
      <c r="E61" s="105">
        <f t="shared" si="24"/>
        <v>4000</v>
      </c>
      <c r="F61" s="105">
        <v>4000</v>
      </c>
      <c r="G61" s="105">
        <v>0</v>
      </c>
      <c r="H61" s="105">
        <f t="shared" si="25"/>
        <v>0</v>
      </c>
      <c r="I61" s="105">
        <f t="shared" si="26"/>
        <v>0</v>
      </c>
      <c r="J61" s="105">
        <f t="shared" si="29"/>
        <v>0</v>
      </c>
      <c r="K61" s="118">
        <v>0</v>
      </c>
      <c r="L61" s="118">
        <v>0</v>
      </c>
      <c r="M61" s="118">
        <v>0</v>
      </c>
    </row>
  </sheetData>
  <mergeCells count="9">
    <mergeCell ref="A1:M1"/>
    <mergeCell ref="A2:B2"/>
    <mergeCell ref="E2:G2"/>
    <mergeCell ref="H2:M2"/>
    <mergeCell ref="B3:D3"/>
    <mergeCell ref="E3:G3"/>
    <mergeCell ref="H3:J3"/>
    <mergeCell ref="K3:M3"/>
    <mergeCell ref="A3:A4"/>
  </mergeCells>
  <pageMargins left="0.708333333333333" right="0.708333333333333" top="0.747916666666667" bottom="0.747916666666667" header="0.314583333333333" footer="0.314583333333333"/>
  <pageSetup paperSize="9" scale="83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7"/>
  <sheetViews>
    <sheetView showZeros="0" view="pageBreakPreview" zoomScaleNormal="100" workbookViewId="0">
      <pane xSplit="1" ySplit="4" topLeftCell="B66" activePane="bottomRight" state="frozen"/>
      <selection/>
      <selection pane="topRight"/>
      <selection pane="bottomLeft"/>
      <selection pane="bottomRight" activeCell="F77" sqref="F77"/>
    </sheetView>
  </sheetViews>
  <sheetFormatPr defaultColWidth="9" defaultRowHeight="14.25"/>
  <cols>
    <col min="1" max="1" width="27.5" style="44" customWidth="1"/>
    <col min="2" max="2" width="14.25" style="44" customWidth="1"/>
    <col min="3" max="4" width="12.125" style="44" customWidth="1"/>
    <col min="5" max="5" width="13.625" style="44" customWidth="1"/>
    <col min="6" max="10" width="12.25" style="44" customWidth="1"/>
    <col min="11" max="11" width="13" style="47" customWidth="1"/>
    <col min="12" max="12" width="10.875" style="47" customWidth="1"/>
    <col min="13" max="13" width="11.875" style="47" customWidth="1"/>
    <col min="14" max="14" width="10.375" style="44" customWidth="1"/>
    <col min="15" max="16384" width="9" style="44"/>
  </cols>
  <sheetData>
    <row r="1" s="44" customFormat="1" ht="27" customHeight="1" spans="1:14">
      <c r="A1" s="48" t="s">
        <v>65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="45" customFormat="1" ht="30" customHeight="1" spans="1:19">
      <c r="A2" s="49" t="s">
        <v>66</v>
      </c>
      <c r="B2" s="49"/>
      <c r="C2" s="50"/>
      <c r="D2" s="50"/>
      <c r="E2" s="51" t="str">
        <f>附表1收入调整表2021!E2</f>
        <v>编制日期：2021年12月</v>
      </c>
      <c r="F2" s="51"/>
      <c r="G2" s="51"/>
      <c r="H2" s="51"/>
      <c r="I2" s="51"/>
      <c r="J2" s="50"/>
      <c r="K2" s="50"/>
      <c r="L2" s="69"/>
      <c r="M2" s="70" t="s">
        <v>3</v>
      </c>
      <c r="N2" s="70"/>
      <c r="O2" s="71"/>
      <c r="P2" s="71"/>
      <c r="Q2" s="71"/>
      <c r="R2" s="71"/>
      <c r="S2" s="71"/>
    </row>
    <row r="3" s="44" customFormat="1" ht="27.75" customHeight="1" spans="1:14">
      <c r="A3" s="52" t="s">
        <v>67</v>
      </c>
      <c r="B3" s="53" t="s">
        <v>68</v>
      </c>
      <c r="C3" s="54"/>
      <c r="D3" s="55"/>
      <c r="E3" s="53" t="s">
        <v>6</v>
      </c>
      <c r="F3" s="54"/>
      <c r="G3" s="55"/>
      <c r="H3" s="53" t="s">
        <v>69</v>
      </c>
      <c r="I3" s="54"/>
      <c r="J3" s="55"/>
      <c r="K3" s="72" t="s">
        <v>70</v>
      </c>
      <c r="L3" s="73"/>
      <c r="M3" s="74"/>
      <c r="N3" s="75" t="s">
        <v>71</v>
      </c>
    </row>
    <row r="4" s="44" customFormat="1" ht="27.75" customHeight="1" spans="1:14">
      <c r="A4" s="56"/>
      <c r="B4" s="57" t="s">
        <v>9</v>
      </c>
      <c r="C4" s="57" t="s">
        <v>10</v>
      </c>
      <c r="D4" s="57" t="s">
        <v>11</v>
      </c>
      <c r="E4" s="57" t="s">
        <v>9</v>
      </c>
      <c r="F4" s="57" t="s">
        <v>10</v>
      </c>
      <c r="G4" s="57" t="s">
        <v>11</v>
      </c>
      <c r="H4" s="57" t="s">
        <v>9</v>
      </c>
      <c r="I4" s="75" t="s">
        <v>10</v>
      </c>
      <c r="J4" s="57" t="s">
        <v>11</v>
      </c>
      <c r="K4" s="76" t="s">
        <v>9</v>
      </c>
      <c r="L4" s="77" t="s">
        <v>10</v>
      </c>
      <c r="M4" s="76" t="s">
        <v>11</v>
      </c>
      <c r="N4" s="78"/>
    </row>
    <row r="5" s="44" customFormat="1" ht="28.5" customHeight="1" spans="1:14">
      <c r="A5" s="58" t="s">
        <v>72</v>
      </c>
      <c r="B5" s="59">
        <f>C5+D5</f>
        <v>820481.559469</v>
      </c>
      <c r="C5" s="60">
        <f>附表1收入调整表2021!C8</f>
        <v>634176</v>
      </c>
      <c r="D5" s="60">
        <f>附表1收入调整表2021!D8</f>
        <v>186305.559469</v>
      </c>
      <c r="E5" s="59">
        <f>F5+G5</f>
        <v>907872.34</v>
      </c>
      <c r="F5" s="60">
        <f>附表1收入调整表2021!F8</f>
        <v>712693</v>
      </c>
      <c r="G5" s="60">
        <f>附表1收入调整表2021!G8</f>
        <v>195179.34</v>
      </c>
      <c r="H5" s="61">
        <f>E5-B5</f>
        <v>87390.780531</v>
      </c>
      <c r="I5" s="61">
        <f>F5-C5</f>
        <v>78517</v>
      </c>
      <c r="J5" s="60">
        <f>G5-D5</f>
        <v>8873.780531</v>
      </c>
      <c r="K5" s="79">
        <f t="shared" ref="K5:K12" si="0">H5/B5*100+100</f>
        <v>110.651157179883</v>
      </c>
      <c r="L5" s="79">
        <f t="shared" ref="L5:L12" si="1">I5/C5*100+100</f>
        <v>112.380947875669</v>
      </c>
      <c r="M5" s="79">
        <f>J5/D5*100+100</f>
        <v>104.763025084325</v>
      </c>
      <c r="N5" s="80"/>
    </row>
    <row r="6" s="44" customFormat="1" ht="28.5" customHeight="1" spans="1:14">
      <c r="A6" s="58" t="s">
        <v>73</v>
      </c>
      <c r="B6" s="59">
        <f t="shared" ref="B6:B37" si="2">C6+D6</f>
        <v>74551</v>
      </c>
      <c r="C6" s="61">
        <f t="shared" ref="C6:G6" si="3">C7+C12</f>
        <v>74551</v>
      </c>
      <c r="D6" s="61">
        <f t="shared" si="3"/>
        <v>0</v>
      </c>
      <c r="E6" s="59">
        <f t="shared" ref="E6:E37" si="4">F6+G6</f>
        <v>95325.64</v>
      </c>
      <c r="F6" s="61">
        <f t="shared" si="3"/>
        <v>95325.64</v>
      </c>
      <c r="G6" s="61">
        <f t="shared" si="3"/>
        <v>0</v>
      </c>
      <c r="H6" s="61">
        <f t="shared" ref="H6:H37" si="5">E6-B6</f>
        <v>20774.64</v>
      </c>
      <c r="I6" s="61">
        <f t="shared" ref="I6:I37" si="6">F6-C6</f>
        <v>20774.64</v>
      </c>
      <c r="J6" s="60">
        <f t="shared" ref="J6:J37" si="7">G6-D6</f>
        <v>0</v>
      </c>
      <c r="K6" s="79">
        <f t="shared" si="0"/>
        <v>127.86634652788</v>
      </c>
      <c r="L6" s="79">
        <f t="shared" si="1"/>
        <v>127.86634652788</v>
      </c>
      <c r="M6" s="79">
        <v>0</v>
      </c>
      <c r="N6" s="80"/>
    </row>
    <row r="7" s="44" customFormat="1" ht="28.5" customHeight="1" spans="1:14">
      <c r="A7" s="58" t="s">
        <v>74</v>
      </c>
      <c r="B7" s="59">
        <f t="shared" si="2"/>
        <v>36516</v>
      </c>
      <c r="C7" s="59">
        <v>36516</v>
      </c>
      <c r="D7" s="59">
        <v>0</v>
      </c>
      <c r="E7" s="59">
        <f t="shared" si="4"/>
        <v>36516</v>
      </c>
      <c r="F7" s="59">
        <v>36516</v>
      </c>
      <c r="G7" s="59">
        <v>0</v>
      </c>
      <c r="H7" s="61">
        <f t="shared" si="5"/>
        <v>0</v>
      </c>
      <c r="I7" s="61">
        <f t="shared" si="6"/>
        <v>0</v>
      </c>
      <c r="J7" s="60">
        <f t="shared" si="7"/>
        <v>0</v>
      </c>
      <c r="K7" s="79">
        <f t="shared" si="0"/>
        <v>100</v>
      </c>
      <c r="L7" s="79">
        <f t="shared" si="1"/>
        <v>100</v>
      </c>
      <c r="M7" s="79">
        <v>0</v>
      </c>
      <c r="N7" s="80"/>
    </row>
    <row r="8" s="44" customFormat="1" ht="28.5" customHeight="1" spans="1:14">
      <c r="A8" s="62" t="s">
        <v>75</v>
      </c>
      <c r="B8" s="59">
        <f t="shared" si="2"/>
        <v>3181</v>
      </c>
      <c r="C8" s="61">
        <v>3181</v>
      </c>
      <c r="D8" s="61">
        <v>0</v>
      </c>
      <c r="E8" s="59">
        <f t="shared" si="4"/>
        <v>3181</v>
      </c>
      <c r="F8" s="61">
        <v>3181</v>
      </c>
      <c r="G8" s="61">
        <v>0</v>
      </c>
      <c r="H8" s="61">
        <f t="shared" si="5"/>
        <v>0</v>
      </c>
      <c r="I8" s="61">
        <f t="shared" si="6"/>
        <v>0</v>
      </c>
      <c r="J8" s="60">
        <f t="shared" si="7"/>
        <v>0</v>
      </c>
      <c r="K8" s="79">
        <f t="shared" si="0"/>
        <v>100</v>
      </c>
      <c r="L8" s="79">
        <f t="shared" si="1"/>
        <v>100</v>
      </c>
      <c r="M8" s="79">
        <v>0</v>
      </c>
      <c r="N8" s="80" t="s">
        <v>76</v>
      </c>
    </row>
    <row r="9" s="44" customFormat="1" ht="28.5" customHeight="1" spans="1:14">
      <c r="A9" s="62" t="s">
        <v>77</v>
      </c>
      <c r="B9" s="59">
        <f t="shared" si="2"/>
        <v>3409</v>
      </c>
      <c r="C9" s="61">
        <v>3409</v>
      </c>
      <c r="D9" s="61">
        <v>0</v>
      </c>
      <c r="E9" s="59">
        <f t="shared" si="4"/>
        <v>3409</v>
      </c>
      <c r="F9" s="61">
        <v>3409</v>
      </c>
      <c r="G9" s="61">
        <v>0</v>
      </c>
      <c r="H9" s="61">
        <f t="shared" si="5"/>
        <v>0</v>
      </c>
      <c r="I9" s="61">
        <f t="shared" si="6"/>
        <v>0</v>
      </c>
      <c r="J9" s="60">
        <f t="shared" si="7"/>
        <v>0</v>
      </c>
      <c r="K9" s="79">
        <f t="shared" si="0"/>
        <v>100</v>
      </c>
      <c r="L9" s="79">
        <f t="shared" si="1"/>
        <v>100</v>
      </c>
      <c r="M9" s="79">
        <v>0</v>
      </c>
      <c r="N9" s="80" t="s">
        <v>76</v>
      </c>
    </row>
    <row r="10" s="44" customFormat="1" ht="28.5" customHeight="1" spans="1:14">
      <c r="A10" s="62" t="s">
        <v>78</v>
      </c>
      <c r="B10" s="59">
        <f t="shared" si="2"/>
        <v>427</v>
      </c>
      <c r="C10" s="61">
        <v>427</v>
      </c>
      <c r="D10" s="61">
        <v>0</v>
      </c>
      <c r="E10" s="59">
        <f t="shared" si="4"/>
        <v>427</v>
      </c>
      <c r="F10" s="61">
        <v>427</v>
      </c>
      <c r="G10" s="61">
        <v>0</v>
      </c>
      <c r="H10" s="61">
        <f t="shared" si="5"/>
        <v>0</v>
      </c>
      <c r="I10" s="61">
        <f t="shared" si="6"/>
        <v>0</v>
      </c>
      <c r="J10" s="60">
        <f t="shared" si="7"/>
        <v>0</v>
      </c>
      <c r="K10" s="79">
        <f t="shared" si="0"/>
        <v>100</v>
      </c>
      <c r="L10" s="79">
        <f t="shared" si="1"/>
        <v>100</v>
      </c>
      <c r="M10" s="79">
        <v>0</v>
      </c>
      <c r="N10" s="80" t="s">
        <v>76</v>
      </c>
    </row>
    <row r="11" s="44" customFormat="1" ht="28.5" customHeight="1" spans="1:14">
      <c r="A11" s="62" t="s">
        <v>79</v>
      </c>
      <c r="B11" s="59">
        <f t="shared" si="2"/>
        <v>29499</v>
      </c>
      <c r="C11" s="61">
        <v>29499</v>
      </c>
      <c r="D11" s="61">
        <v>0</v>
      </c>
      <c r="E11" s="59">
        <f t="shared" si="4"/>
        <v>29499</v>
      </c>
      <c r="F11" s="61">
        <v>29499</v>
      </c>
      <c r="G11" s="61">
        <v>0</v>
      </c>
      <c r="H11" s="61">
        <f t="shared" si="5"/>
        <v>0</v>
      </c>
      <c r="I11" s="61">
        <f t="shared" si="6"/>
        <v>0</v>
      </c>
      <c r="J11" s="60">
        <f t="shared" si="7"/>
        <v>0</v>
      </c>
      <c r="K11" s="79">
        <f t="shared" si="0"/>
        <v>100</v>
      </c>
      <c r="L11" s="79">
        <f t="shared" si="1"/>
        <v>100</v>
      </c>
      <c r="M11" s="79">
        <v>0</v>
      </c>
      <c r="N11" s="80" t="s">
        <v>76</v>
      </c>
    </row>
    <row r="12" s="44" customFormat="1" ht="28.5" customHeight="1" spans="1:14">
      <c r="A12" s="58" t="s">
        <v>80</v>
      </c>
      <c r="B12" s="59">
        <f t="shared" si="2"/>
        <v>38035</v>
      </c>
      <c r="C12" s="61">
        <f>C13+C14+C19+C22+C29+C30+C31+C32+C33+C34+C35+C36+C37+C38+C39+C40+C41+C42+C43+C44</f>
        <v>38035</v>
      </c>
      <c r="D12" s="61">
        <f>D13+D14+D19+D22+D29+D30+D31+D32+D33+D34+D35+D36+D37+D38+D39+D40+D41+D42+D43+D44</f>
        <v>0</v>
      </c>
      <c r="E12" s="59">
        <f t="shared" si="4"/>
        <v>58809.64</v>
      </c>
      <c r="F12" s="61">
        <f>F13+F14+F19+F22+F29+F30+F31+F32+F33+F34+F35+F36+F37+F38+F39+F40+F41+F42+F43+F44</f>
        <v>58809.64</v>
      </c>
      <c r="G12" s="61">
        <f>G13+G14+G19+G22+G29+G30+G31+G32+G33+G34+G35+G36+G37+G38+G39+G40+G41+G42+G43+G44</f>
        <v>0</v>
      </c>
      <c r="H12" s="61">
        <f t="shared" si="5"/>
        <v>20774.64</v>
      </c>
      <c r="I12" s="61">
        <f t="shared" si="6"/>
        <v>20774.64</v>
      </c>
      <c r="J12" s="60">
        <f t="shared" si="7"/>
        <v>0</v>
      </c>
      <c r="K12" s="79">
        <f t="shared" si="0"/>
        <v>154.619797554884</v>
      </c>
      <c r="L12" s="79">
        <f t="shared" si="1"/>
        <v>154.619797554884</v>
      </c>
      <c r="M12" s="79">
        <v>0</v>
      </c>
      <c r="N12" s="80"/>
    </row>
    <row r="13" s="44" customFormat="1" ht="28.5" customHeight="1" spans="1:14">
      <c r="A13" s="58" t="s">
        <v>81</v>
      </c>
      <c r="B13" s="59">
        <f t="shared" si="2"/>
        <v>0</v>
      </c>
      <c r="C13" s="61">
        <v>0</v>
      </c>
      <c r="D13" s="61">
        <v>0</v>
      </c>
      <c r="E13" s="59">
        <f t="shared" si="4"/>
        <v>0</v>
      </c>
      <c r="F13" s="61">
        <v>0</v>
      </c>
      <c r="G13" s="61">
        <v>0</v>
      </c>
      <c r="H13" s="61">
        <f t="shared" si="5"/>
        <v>0</v>
      </c>
      <c r="I13" s="61">
        <f t="shared" si="6"/>
        <v>0</v>
      </c>
      <c r="J13" s="60">
        <f t="shared" si="7"/>
        <v>0</v>
      </c>
      <c r="K13" s="79">
        <v>0</v>
      </c>
      <c r="L13" s="79">
        <v>0</v>
      </c>
      <c r="M13" s="79">
        <v>0</v>
      </c>
      <c r="N13" s="80"/>
    </row>
    <row r="14" s="44" customFormat="1" ht="28.5" customHeight="1" spans="1:14">
      <c r="A14" s="58" t="s">
        <v>82</v>
      </c>
      <c r="B14" s="59">
        <f t="shared" si="2"/>
        <v>12519</v>
      </c>
      <c r="C14" s="59">
        <f>C15+C16+C17+C18</f>
        <v>12519</v>
      </c>
      <c r="D14" s="59">
        <v>0</v>
      </c>
      <c r="E14" s="59">
        <f t="shared" si="4"/>
        <v>11714</v>
      </c>
      <c r="F14" s="59">
        <f>F15+F16+F17+F18</f>
        <v>11714</v>
      </c>
      <c r="G14" s="59">
        <v>0</v>
      </c>
      <c r="H14" s="61">
        <f t="shared" si="5"/>
        <v>-805</v>
      </c>
      <c r="I14" s="61">
        <f t="shared" si="6"/>
        <v>-805</v>
      </c>
      <c r="J14" s="60">
        <f t="shared" si="7"/>
        <v>0</v>
      </c>
      <c r="K14" s="79">
        <f t="shared" ref="K14:K21" si="8">H14/B14*100+100</f>
        <v>93.5697739436057</v>
      </c>
      <c r="L14" s="79">
        <f t="shared" ref="L14:L21" si="9">I14/C14*100+100</f>
        <v>93.5697739436057</v>
      </c>
      <c r="M14" s="79">
        <v>0</v>
      </c>
      <c r="N14" s="80"/>
    </row>
    <row r="15" s="44" customFormat="1" ht="28.5" customHeight="1" spans="1:14">
      <c r="A15" s="63" t="s">
        <v>83</v>
      </c>
      <c r="B15" s="59">
        <f t="shared" si="2"/>
        <v>1341</v>
      </c>
      <c r="C15" s="61">
        <v>1341</v>
      </c>
      <c r="D15" s="61">
        <v>0</v>
      </c>
      <c r="E15" s="59">
        <f t="shared" si="4"/>
        <v>1341</v>
      </c>
      <c r="F15" s="61">
        <v>1341</v>
      </c>
      <c r="G15" s="61">
        <v>0</v>
      </c>
      <c r="H15" s="61">
        <f t="shared" si="5"/>
        <v>0</v>
      </c>
      <c r="I15" s="61">
        <f t="shared" si="6"/>
        <v>0</v>
      </c>
      <c r="J15" s="60">
        <f t="shared" si="7"/>
        <v>0</v>
      </c>
      <c r="K15" s="79">
        <f t="shared" si="8"/>
        <v>100</v>
      </c>
      <c r="L15" s="79">
        <f t="shared" si="9"/>
        <v>100</v>
      </c>
      <c r="M15" s="79">
        <v>0</v>
      </c>
      <c r="N15" s="80" t="s">
        <v>76</v>
      </c>
    </row>
    <row r="16" s="44" customFormat="1" ht="28.5" customHeight="1" spans="1:14">
      <c r="A16" s="64" t="s">
        <v>84</v>
      </c>
      <c r="B16" s="59">
        <f t="shared" si="2"/>
        <v>1074</v>
      </c>
      <c r="C16" s="61">
        <v>1074</v>
      </c>
      <c r="D16" s="61">
        <v>0</v>
      </c>
      <c r="E16" s="59">
        <f t="shared" si="4"/>
        <v>1074</v>
      </c>
      <c r="F16" s="61">
        <v>1074</v>
      </c>
      <c r="G16" s="61">
        <v>0</v>
      </c>
      <c r="H16" s="61">
        <f t="shared" si="5"/>
        <v>0</v>
      </c>
      <c r="I16" s="61">
        <f t="shared" si="6"/>
        <v>0</v>
      </c>
      <c r="J16" s="60">
        <f t="shared" si="7"/>
        <v>0</v>
      </c>
      <c r="K16" s="79">
        <f t="shared" si="8"/>
        <v>100</v>
      </c>
      <c r="L16" s="79">
        <f t="shared" si="9"/>
        <v>100</v>
      </c>
      <c r="M16" s="79">
        <v>0</v>
      </c>
      <c r="N16" s="80" t="s">
        <v>76</v>
      </c>
    </row>
    <row r="17" s="44" customFormat="1" ht="34" customHeight="1" spans="1:14">
      <c r="A17" s="63" t="s">
        <v>85</v>
      </c>
      <c r="B17" s="59">
        <f t="shared" si="2"/>
        <v>6701</v>
      </c>
      <c r="C17" s="61">
        <v>6701</v>
      </c>
      <c r="D17" s="61">
        <v>0</v>
      </c>
      <c r="E17" s="59">
        <f t="shared" si="4"/>
        <v>6701</v>
      </c>
      <c r="F17" s="61">
        <v>6701</v>
      </c>
      <c r="G17" s="61">
        <v>0</v>
      </c>
      <c r="H17" s="61">
        <f t="shared" si="5"/>
        <v>0</v>
      </c>
      <c r="I17" s="61">
        <f t="shared" si="6"/>
        <v>0</v>
      </c>
      <c r="J17" s="60">
        <f t="shared" si="7"/>
        <v>0</v>
      </c>
      <c r="K17" s="79">
        <f t="shared" si="8"/>
        <v>100</v>
      </c>
      <c r="L17" s="79">
        <f t="shared" si="9"/>
        <v>100</v>
      </c>
      <c r="M17" s="79">
        <v>0</v>
      </c>
      <c r="N17" s="80" t="s">
        <v>76</v>
      </c>
    </row>
    <row r="18" s="44" customFormat="1" ht="28.5" customHeight="1" spans="1:14">
      <c r="A18" s="63" t="s">
        <v>86</v>
      </c>
      <c r="B18" s="59">
        <f t="shared" si="2"/>
        <v>3403</v>
      </c>
      <c r="C18" s="61">
        <v>3403</v>
      </c>
      <c r="D18" s="61">
        <v>0</v>
      </c>
      <c r="E18" s="59">
        <f t="shared" si="4"/>
        <v>2598</v>
      </c>
      <c r="F18" s="61">
        <v>2598</v>
      </c>
      <c r="G18" s="61">
        <v>0</v>
      </c>
      <c r="H18" s="61">
        <f t="shared" si="5"/>
        <v>-805</v>
      </c>
      <c r="I18" s="61">
        <f t="shared" si="6"/>
        <v>-805</v>
      </c>
      <c r="J18" s="60">
        <f t="shared" si="7"/>
        <v>0</v>
      </c>
      <c r="K18" s="79">
        <f t="shared" si="8"/>
        <v>76.3444019982368</v>
      </c>
      <c r="L18" s="79">
        <f t="shared" si="9"/>
        <v>76.3444019982368</v>
      </c>
      <c r="M18" s="79">
        <v>0</v>
      </c>
      <c r="N18" s="80" t="s">
        <v>76</v>
      </c>
    </row>
    <row r="19" s="44" customFormat="1" ht="28.5" customHeight="1" spans="1:14">
      <c r="A19" s="58" t="s">
        <v>87</v>
      </c>
      <c r="B19" s="59">
        <f t="shared" si="2"/>
        <v>1524</v>
      </c>
      <c r="C19" s="59">
        <f t="shared" ref="B19:G19" si="10">SUM(C20:C21)</f>
        <v>1524</v>
      </c>
      <c r="D19" s="59">
        <f t="shared" si="10"/>
        <v>0</v>
      </c>
      <c r="E19" s="59">
        <f t="shared" si="4"/>
        <v>1220</v>
      </c>
      <c r="F19" s="59">
        <f t="shared" si="10"/>
        <v>1220</v>
      </c>
      <c r="G19" s="59">
        <f t="shared" si="10"/>
        <v>0</v>
      </c>
      <c r="H19" s="61">
        <f t="shared" si="5"/>
        <v>-304</v>
      </c>
      <c r="I19" s="61">
        <f t="shared" si="6"/>
        <v>-304</v>
      </c>
      <c r="J19" s="60">
        <f t="shared" si="7"/>
        <v>0</v>
      </c>
      <c r="K19" s="79">
        <f t="shared" si="8"/>
        <v>80.0524934383202</v>
      </c>
      <c r="L19" s="79">
        <f t="shared" si="9"/>
        <v>80.0524934383202</v>
      </c>
      <c r="M19" s="79">
        <v>0</v>
      </c>
      <c r="N19" s="80" t="s">
        <v>76</v>
      </c>
    </row>
    <row r="20" s="44" customFormat="1" ht="38" customHeight="1" spans="1:14">
      <c r="A20" s="63" t="s">
        <v>88</v>
      </c>
      <c r="B20" s="59">
        <f t="shared" si="2"/>
        <v>467</v>
      </c>
      <c r="C20" s="61">
        <v>467</v>
      </c>
      <c r="D20" s="61">
        <v>0</v>
      </c>
      <c r="E20" s="59">
        <f t="shared" si="4"/>
        <v>467</v>
      </c>
      <c r="F20" s="61">
        <v>467</v>
      </c>
      <c r="G20" s="61">
        <v>0</v>
      </c>
      <c r="H20" s="61">
        <f t="shared" si="5"/>
        <v>0</v>
      </c>
      <c r="I20" s="61">
        <f t="shared" si="6"/>
        <v>0</v>
      </c>
      <c r="J20" s="60">
        <f t="shared" si="7"/>
        <v>0</v>
      </c>
      <c r="K20" s="79">
        <f t="shared" si="8"/>
        <v>100</v>
      </c>
      <c r="L20" s="79">
        <f t="shared" si="9"/>
        <v>100</v>
      </c>
      <c r="M20" s="79">
        <v>0</v>
      </c>
      <c r="N20" s="80" t="s">
        <v>76</v>
      </c>
    </row>
    <row r="21" s="44" customFormat="1" ht="35" customHeight="1" spans="1:14">
      <c r="A21" s="63" t="s">
        <v>89</v>
      </c>
      <c r="B21" s="59">
        <f t="shared" si="2"/>
        <v>1057</v>
      </c>
      <c r="C21" s="61">
        <v>1057</v>
      </c>
      <c r="D21" s="61">
        <v>0</v>
      </c>
      <c r="E21" s="59">
        <f t="shared" si="4"/>
        <v>753</v>
      </c>
      <c r="F21" s="61">
        <v>753</v>
      </c>
      <c r="G21" s="61">
        <v>0</v>
      </c>
      <c r="H21" s="61">
        <f t="shared" si="5"/>
        <v>-304</v>
      </c>
      <c r="I21" s="61">
        <f t="shared" si="6"/>
        <v>-304</v>
      </c>
      <c r="J21" s="60">
        <f t="shared" si="7"/>
        <v>0</v>
      </c>
      <c r="K21" s="79">
        <f t="shared" si="8"/>
        <v>71.2393566698202</v>
      </c>
      <c r="L21" s="79">
        <f t="shared" si="9"/>
        <v>71.2393566698202</v>
      </c>
      <c r="M21" s="79">
        <v>0</v>
      </c>
      <c r="N21" s="80" t="s">
        <v>76</v>
      </c>
    </row>
    <row r="22" s="44" customFormat="1" ht="28.5" customHeight="1" spans="1:14">
      <c r="A22" s="65" t="s">
        <v>90</v>
      </c>
      <c r="B22" s="59">
        <f t="shared" si="2"/>
        <v>2954</v>
      </c>
      <c r="C22" s="61">
        <f>C23+C24+C25+C26+C28+C27</f>
        <v>2954</v>
      </c>
      <c r="D22" s="61">
        <f>D23+D24+D25+D26+D28</f>
        <v>0</v>
      </c>
      <c r="E22" s="59">
        <f t="shared" si="4"/>
        <v>4033</v>
      </c>
      <c r="F22" s="61">
        <f>F23+F24+F25+F26+F28</f>
        <v>4033</v>
      </c>
      <c r="G22" s="61">
        <f>G23+G24+G25+G26+G28</f>
        <v>0</v>
      </c>
      <c r="H22" s="61">
        <f t="shared" si="5"/>
        <v>1079</v>
      </c>
      <c r="I22" s="61">
        <f t="shared" si="6"/>
        <v>1079</v>
      </c>
      <c r="J22" s="60">
        <f t="shared" si="7"/>
        <v>0</v>
      </c>
      <c r="K22" s="79">
        <f t="shared" ref="K22:K35" si="11">H22/B22*100+100</f>
        <v>136.526743398781</v>
      </c>
      <c r="L22" s="79">
        <f t="shared" ref="L22:L35" si="12">I22/C22*100+100</f>
        <v>136.526743398781</v>
      </c>
      <c r="M22" s="79">
        <v>0</v>
      </c>
      <c r="N22" s="80" t="s">
        <v>76</v>
      </c>
    </row>
    <row r="23" s="44" customFormat="1" ht="28.5" customHeight="1" spans="1:14">
      <c r="A23" s="66" t="s">
        <v>91</v>
      </c>
      <c r="B23" s="59">
        <f t="shared" si="2"/>
        <v>1800</v>
      </c>
      <c r="C23" s="61">
        <v>1800</v>
      </c>
      <c r="D23" s="61">
        <v>0</v>
      </c>
      <c r="E23" s="59">
        <f t="shared" si="4"/>
        <v>3000</v>
      </c>
      <c r="F23" s="61">
        <v>3000</v>
      </c>
      <c r="G23" s="61">
        <v>0</v>
      </c>
      <c r="H23" s="61">
        <f t="shared" si="5"/>
        <v>1200</v>
      </c>
      <c r="I23" s="61">
        <f t="shared" si="6"/>
        <v>1200</v>
      </c>
      <c r="J23" s="60">
        <f t="shared" si="7"/>
        <v>0</v>
      </c>
      <c r="K23" s="79">
        <f t="shared" si="11"/>
        <v>166.666666666667</v>
      </c>
      <c r="L23" s="79">
        <f t="shared" si="12"/>
        <v>166.666666666667</v>
      </c>
      <c r="M23" s="79">
        <v>0</v>
      </c>
      <c r="N23" s="80" t="s">
        <v>76</v>
      </c>
    </row>
    <row r="24" s="44" customFormat="1" ht="30" customHeight="1" spans="1:14">
      <c r="A24" s="66" t="s">
        <v>92</v>
      </c>
      <c r="B24" s="59">
        <f t="shared" si="2"/>
        <v>77</v>
      </c>
      <c r="C24" s="61">
        <v>77</v>
      </c>
      <c r="D24" s="61">
        <v>0</v>
      </c>
      <c r="E24" s="59">
        <f t="shared" si="4"/>
        <v>105</v>
      </c>
      <c r="F24" s="61">
        <v>105</v>
      </c>
      <c r="G24" s="61">
        <v>0</v>
      </c>
      <c r="H24" s="61">
        <f t="shared" si="5"/>
        <v>28</v>
      </c>
      <c r="I24" s="61">
        <f t="shared" si="6"/>
        <v>28</v>
      </c>
      <c r="J24" s="60">
        <f t="shared" si="7"/>
        <v>0</v>
      </c>
      <c r="K24" s="79">
        <f t="shared" si="11"/>
        <v>136.363636363636</v>
      </c>
      <c r="L24" s="79">
        <f t="shared" si="12"/>
        <v>136.363636363636</v>
      </c>
      <c r="M24" s="79">
        <v>0</v>
      </c>
      <c r="N24" s="80" t="s">
        <v>93</v>
      </c>
    </row>
    <row r="25" s="44" customFormat="1" ht="28.5" customHeight="1" spans="1:14">
      <c r="A25" s="64" t="s">
        <v>94</v>
      </c>
      <c r="B25" s="59">
        <f t="shared" si="2"/>
        <v>182</v>
      </c>
      <c r="C25" s="61">
        <v>182</v>
      </c>
      <c r="D25" s="61">
        <v>0</v>
      </c>
      <c r="E25" s="59">
        <f t="shared" si="4"/>
        <v>185</v>
      </c>
      <c r="F25" s="61">
        <v>185</v>
      </c>
      <c r="G25" s="61">
        <v>0</v>
      </c>
      <c r="H25" s="61">
        <f t="shared" si="5"/>
        <v>3</v>
      </c>
      <c r="I25" s="61">
        <f t="shared" si="6"/>
        <v>3</v>
      </c>
      <c r="J25" s="60">
        <f t="shared" si="7"/>
        <v>0</v>
      </c>
      <c r="K25" s="79">
        <f t="shared" si="11"/>
        <v>101.648351648352</v>
      </c>
      <c r="L25" s="79">
        <f t="shared" si="12"/>
        <v>101.648351648352</v>
      </c>
      <c r="M25" s="79">
        <v>0</v>
      </c>
      <c r="N25" s="80" t="s">
        <v>93</v>
      </c>
    </row>
    <row r="26" s="44" customFormat="1" ht="28.5" customHeight="1" spans="1:14">
      <c r="A26" s="64" t="s">
        <v>95</v>
      </c>
      <c r="B26" s="59">
        <f t="shared" si="2"/>
        <v>711</v>
      </c>
      <c r="C26" s="61">
        <v>711</v>
      </c>
      <c r="D26" s="61">
        <v>0</v>
      </c>
      <c r="E26" s="59">
        <f t="shared" si="4"/>
        <v>743</v>
      </c>
      <c r="F26" s="61">
        <v>743</v>
      </c>
      <c r="G26" s="61">
        <v>0</v>
      </c>
      <c r="H26" s="61">
        <f t="shared" si="5"/>
        <v>32</v>
      </c>
      <c r="I26" s="61">
        <f t="shared" si="6"/>
        <v>32</v>
      </c>
      <c r="J26" s="60">
        <f t="shared" si="7"/>
        <v>0</v>
      </c>
      <c r="K26" s="79">
        <f t="shared" si="11"/>
        <v>104.50070323488</v>
      </c>
      <c r="L26" s="79">
        <f t="shared" si="12"/>
        <v>104.50070323488</v>
      </c>
      <c r="M26" s="79">
        <v>0</v>
      </c>
      <c r="N26" s="80" t="s">
        <v>93</v>
      </c>
    </row>
    <row r="27" s="44" customFormat="1" ht="28.5" customHeight="1" spans="1:14">
      <c r="A27" s="64" t="s">
        <v>96</v>
      </c>
      <c r="B27" s="59">
        <f t="shared" si="2"/>
        <v>184</v>
      </c>
      <c r="C27" s="61">
        <v>184</v>
      </c>
      <c r="D27" s="61">
        <v>0</v>
      </c>
      <c r="E27" s="59">
        <f t="shared" si="4"/>
        <v>0</v>
      </c>
      <c r="F27" s="61">
        <v>0</v>
      </c>
      <c r="G27" s="61">
        <v>0</v>
      </c>
      <c r="H27" s="61">
        <f t="shared" si="5"/>
        <v>-184</v>
      </c>
      <c r="I27" s="61">
        <f t="shared" si="6"/>
        <v>-184</v>
      </c>
      <c r="J27" s="60">
        <f t="shared" si="7"/>
        <v>0</v>
      </c>
      <c r="K27" s="79">
        <f t="shared" si="11"/>
        <v>0</v>
      </c>
      <c r="L27" s="79">
        <f t="shared" si="12"/>
        <v>0</v>
      </c>
      <c r="M27" s="79">
        <v>0</v>
      </c>
      <c r="N27" s="80" t="s">
        <v>93</v>
      </c>
    </row>
    <row r="28" s="44" customFormat="1" ht="28.5" customHeight="1" spans="1:14">
      <c r="A28" s="64" t="s">
        <v>97</v>
      </c>
      <c r="B28" s="59">
        <f t="shared" si="2"/>
        <v>0</v>
      </c>
      <c r="C28" s="61">
        <v>0</v>
      </c>
      <c r="D28" s="61">
        <v>0</v>
      </c>
      <c r="E28" s="59">
        <f t="shared" si="4"/>
        <v>0</v>
      </c>
      <c r="F28" s="61">
        <v>0</v>
      </c>
      <c r="G28" s="61">
        <v>0</v>
      </c>
      <c r="H28" s="61">
        <f t="shared" si="5"/>
        <v>0</v>
      </c>
      <c r="I28" s="61">
        <f t="shared" si="6"/>
        <v>0</v>
      </c>
      <c r="J28" s="60">
        <f t="shared" si="7"/>
        <v>0</v>
      </c>
      <c r="K28" s="79">
        <v>0</v>
      </c>
      <c r="L28" s="79">
        <v>0</v>
      </c>
      <c r="M28" s="79">
        <v>0</v>
      </c>
      <c r="N28" s="80" t="s">
        <v>76</v>
      </c>
    </row>
    <row r="29" s="44" customFormat="1" ht="28.5" customHeight="1" spans="1:14">
      <c r="A29" s="67" t="s">
        <v>98</v>
      </c>
      <c r="B29" s="59">
        <f t="shared" si="2"/>
        <v>134</v>
      </c>
      <c r="C29" s="61">
        <v>134</v>
      </c>
      <c r="D29" s="61">
        <v>0</v>
      </c>
      <c r="E29" s="59">
        <f t="shared" si="4"/>
        <v>90</v>
      </c>
      <c r="F29" s="61">
        <v>90</v>
      </c>
      <c r="G29" s="61">
        <v>0</v>
      </c>
      <c r="H29" s="61">
        <f t="shared" si="5"/>
        <v>-44</v>
      </c>
      <c r="I29" s="61">
        <f t="shared" si="6"/>
        <v>-44</v>
      </c>
      <c r="J29" s="60">
        <f t="shared" si="7"/>
        <v>0</v>
      </c>
      <c r="K29" s="79">
        <f t="shared" si="11"/>
        <v>67.1641791044776</v>
      </c>
      <c r="L29" s="79">
        <f t="shared" si="12"/>
        <v>67.1641791044776</v>
      </c>
      <c r="M29" s="79">
        <v>0</v>
      </c>
      <c r="N29" s="80" t="s">
        <v>76</v>
      </c>
    </row>
    <row r="30" s="44" customFormat="1" ht="28.5" customHeight="1" spans="1:14">
      <c r="A30" s="67" t="s">
        <v>99</v>
      </c>
      <c r="B30" s="59">
        <f t="shared" si="2"/>
        <v>0</v>
      </c>
      <c r="C30" s="61">
        <v>0</v>
      </c>
      <c r="D30" s="61">
        <v>0</v>
      </c>
      <c r="E30" s="59">
        <f t="shared" si="4"/>
        <v>354</v>
      </c>
      <c r="F30" s="61">
        <v>354</v>
      </c>
      <c r="G30" s="61">
        <v>0</v>
      </c>
      <c r="H30" s="61">
        <f t="shared" si="5"/>
        <v>354</v>
      </c>
      <c r="I30" s="61">
        <f t="shared" si="6"/>
        <v>354</v>
      </c>
      <c r="J30" s="60">
        <f t="shared" si="7"/>
        <v>0</v>
      </c>
      <c r="K30" s="79">
        <v>0</v>
      </c>
      <c r="L30" s="79">
        <v>0</v>
      </c>
      <c r="M30" s="79">
        <v>0</v>
      </c>
      <c r="N30" s="80" t="s">
        <v>76</v>
      </c>
    </row>
    <row r="31" s="44" customFormat="1" ht="28.5" customHeight="1" spans="1:14">
      <c r="A31" s="67" t="s">
        <v>100</v>
      </c>
      <c r="B31" s="59">
        <f t="shared" si="2"/>
        <v>0</v>
      </c>
      <c r="C31" s="61">
        <v>0</v>
      </c>
      <c r="D31" s="61">
        <v>0</v>
      </c>
      <c r="E31" s="59">
        <f t="shared" si="4"/>
        <v>0</v>
      </c>
      <c r="F31" s="61">
        <v>0</v>
      </c>
      <c r="G31" s="61">
        <v>0</v>
      </c>
      <c r="H31" s="61">
        <f t="shared" si="5"/>
        <v>0</v>
      </c>
      <c r="I31" s="61">
        <f t="shared" si="6"/>
        <v>0</v>
      </c>
      <c r="J31" s="60">
        <f t="shared" si="7"/>
        <v>0</v>
      </c>
      <c r="K31" s="79">
        <v>0</v>
      </c>
      <c r="L31" s="79">
        <v>0</v>
      </c>
      <c r="M31" s="79">
        <v>0</v>
      </c>
      <c r="N31" s="80" t="s">
        <v>93</v>
      </c>
    </row>
    <row r="32" s="44" customFormat="1" ht="28.5" customHeight="1" spans="1:14">
      <c r="A32" s="67" t="s">
        <v>101</v>
      </c>
      <c r="B32" s="59">
        <f t="shared" si="2"/>
        <v>1150</v>
      </c>
      <c r="C32" s="61">
        <v>1150</v>
      </c>
      <c r="D32" s="61">
        <v>0</v>
      </c>
      <c r="E32" s="59">
        <f t="shared" si="4"/>
        <v>777.2</v>
      </c>
      <c r="F32" s="61">
        <v>777.2</v>
      </c>
      <c r="G32" s="61">
        <v>0</v>
      </c>
      <c r="H32" s="61">
        <f t="shared" si="5"/>
        <v>-372.8</v>
      </c>
      <c r="I32" s="61">
        <f t="shared" si="6"/>
        <v>-372.8</v>
      </c>
      <c r="J32" s="60">
        <f t="shared" si="7"/>
        <v>0</v>
      </c>
      <c r="K32" s="79">
        <f t="shared" si="11"/>
        <v>67.5826086956522</v>
      </c>
      <c r="L32" s="79">
        <f t="shared" si="12"/>
        <v>67.5826086956522</v>
      </c>
      <c r="M32" s="79">
        <v>0</v>
      </c>
      <c r="N32" s="80" t="s">
        <v>93</v>
      </c>
    </row>
    <row r="33" s="44" customFormat="1" ht="28.5" customHeight="1" spans="1:14">
      <c r="A33" s="67" t="s">
        <v>102</v>
      </c>
      <c r="B33" s="59">
        <f t="shared" si="2"/>
        <v>1135</v>
      </c>
      <c r="C33" s="61">
        <v>1135</v>
      </c>
      <c r="D33" s="61">
        <v>0</v>
      </c>
      <c r="E33" s="59">
        <f t="shared" si="4"/>
        <v>1422.72</v>
      </c>
      <c r="F33" s="61">
        <v>1422.72</v>
      </c>
      <c r="G33" s="61">
        <v>0</v>
      </c>
      <c r="H33" s="61">
        <f t="shared" si="5"/>
        <v>287.72</v>
      </c>
      <c r="I33" s="61">
        <f t="shared" si="6"/>
        <v>287.72</v>
      </c>
      <c r="J33" s="60">
        <f t="shared" si="7"/>
        <v>0</v>
      </c>
      <c r="K33" s="79">
        <f t="shared" si="11"/>
        <v>125.349779735683</v>
      </c>
      <c r="L33" s="79">
        <f t="shared" si="12"/>
        <v>125.349779735683</v>
      </c>
      <c r="M33" s="79">
        <v>0</v>
      </c>
      <c r="N33" s="80" t="s">
        <v>93</v>
      </c>
    </row>
    <row r="34" s="44" customFormat="1" ht="28.5" customHeight="1" spans="1:14">
      <c r="A34" s="67" t="s">
        <v>103</v>
      </c>
      <c r="B34" s="59">
        <f t="shared" si="2"/>
        <v>0</v>
      </c>
      <c r="C34" s="61">
        <v>0</v>
      </c>
      <c r="D34" s="61">
        <v>0</v>
      </c>
      <c r="E34" s="59">
        <f t="shared" si="4"/>
        <v>0</v>
      </c>
      <c r="F34" s="61">
        <v>0</v>
      </c>
      <c r="G34" s="61">
        <v>0</v>
      </c>
      <c r="H34" s="61">
        <f t="shared" si="5"/>
        <v>0</v>
      </c>
      <c r="I34" s="61">
        <f t="shared" si="6"/>
        <v>0</v>
      </c>
      <c r="J34" s="60">
        <f t="shared" si="7"/>
        <v>0</v>
      </c>
      <c r="K34" s="79">
        <v>0</v>
      </c>
      <c r="L34" s="79">
        <v>0</v>
      </c>
      <c r="M34" s="79">
        <v>0</v>
      </c>
      <c r="N34" s="80" t="s">
        <v>93</v>
      </c>
    </row>
    <row r="35" s="44" customFormat="1" ht="28.5" customHeight="1" spans="1:14">
      <c r="A35" s="67" t="s">
        <v>104</v>
      </c>
      <c r="B35" s="59">
        <f t="shared" si="2"/>
        <v>127</v>
      </c>
      <c r="C35" s="61">
        <v>127</v>
      </c>
      <c r="D35" s="61">
        <v>0</v>
      </c>
      <c r="E35" s="59">
        <f t="shared" si="4"/>
        <v>55</v>
      </c>
      <c r="F35" s="61">
        <v>55</v>
      </c>
      <c r="G35" s="61">
        <v>0</v>
      </c>
      <c r="H35" s="61">
        <f t="shared" si="5"/>
        <v>-72</v>
      </c>
      <c r="I35" s="61">
        <f t="shared" si="6"/>
        <v>-72</v>
      </c>
      <c r="J35" s="60">
        <f t="shared" si="7"/>
        <v>0</v>
      </c>
      <c r="K35" s="79">
        <f t="shared" si="11"/>
        <v>43.3070866141732</v>
      </c>
      <c r="L35" s="79">
        <f t="shared" si="12"/>
        <v>43.3070866141732</v>
      </c>
      <c r="M35" s="79">
        <v>0</v>
      </c>
      <c r="N35" s="80" t="s">
        <v>93</v>
      </c>
    </row>
    <row r="36" s="44" customFormat="1" ht="28.5" customHeight="1" spans="1:14">
      <c r="A36" s="67" t="s">
        <v>105</v>
      </c>
      <c r="B36" s="59">
        <f t="shared" si="2"/>
        <v>9047</v>
      </c>
      <c r="C36" s="61">
        <v>9047</v>
      </c>
      <c r="D36" s="61">
        <v>0</v>
      </c>
      <c r="E36" s="59">
        <f t="shared" si="4"/>
        <v>13124.5</v>
      </c>
      <c r="F36" s="61">
        <v>13124.5</v>
      </c>
      <c r="G36" s="61">
        <v>0</v>
      </c>
      <c r="H36" s="61">
        <f t="shared" si="5"/>
        <v>4077.5</v>
      </c>
      <c r="I36" s="61">
        <f t="shared" si="6"/>
        <v>4077.5</v>
      </c>
      <c r="J36" s="60">
        <f t="shared" si="7"/>
        <v>0</v>
      </c>
      <c r="K36" s="79">
        <f t="shared" ref="K36:K69" si="13">H36/B36*100+100</f>
        <v>145.070189012932</v>
      </c>
      <c r="L36" s="79">
        <f t="shared" ref="L36:L67" si="14">I36/C36*100+100</f>
        <v>145.070189012932</v>
      </c>
      <c r="M36" s="79">
        <v>0</v>
      </c>
      <c r="N36" s="80" t="s">
        <v>93</v>
      </c>
    </row>
    <row r="37" s="44" customFormat="1" ht="28.5" customHeight="1" spans="1:14">
      <c r="A37" s="67" t="s">
        <v>106</v>
      </c>
      <c r="B37" s="59">
        <f t="shared" si="2"/>
        <v>421</v>
      </c>
      <c r="C37" s="61">
        <v>421</v>
      </c>
      <c r="D37" s="61">
        <v>0</v>
      </c>
      <c r="E37" s="59">
        <f t="shared" si="4"/>
        <v>5177.12</v>
      </c>
      <c r="F37" s="61">
        <v>5177.12</v>
      </c>
      <c r="G37" s="61">
        <v>0</v>
      </c>
      <c r="H37" s="61">
        <f t="shared" si="5"/>
        <v>4756.12</v>
      </c>
      <c r="I37" s="61">
        <f t="shared" si="6"/>
        <v>4756.12</v>
      </c>
      <c r="J37" s="60">
        <f t="shared" si="7"/>
        <v>0</v>
      </c>
      <c r="K37" s="79">
        <f t="shared" si="13"/>
        <v>1229.71971496437</v>
      </c>
      <c r="L37" s="79">
        <f t="shared" si="14"/>
        <v>1229.71971496437</v>
      </c>
      <c r="M37" s="79">
        <v>0</v>
      </c>
      <c r="N37" s="80" t="s">
        <v>93</v>
      </c>
    </row>
    <row r="38" s="44" customFormat="1" ht="28.5" customHeight="1" spans="1:14">
      <c r="A38" s="67" t="s">
        <v>107</v>
      </c>
      <c r="B38" s="59">
        <f t="shared" ref="B38:B76" si="15">C38+D38</f>
        <v>0</v>
      </c>
      <c r="C38" s="61">
        <v>0</v>
      </c>
      <c r="D38" s="61">
        <v>0</v>
      </c>
      <c r="E38" s="59">
        <f t="shared" ref="E38:E76" si="16">F38+G38</f>
        <v>200</v>
      </c>
      <c r="F38" s="61">
        <v>200</v>
      </c>
      <c r="G38" s="61">
        <v>0</v>
      </c>
      <c r="H38" s="61">
        <f t="shared" ref="H38:H77" si="17">E38-B38</f>
        <v>200</v>
      </c>
      <c r="I38" s="61">
        <f t="shared" ref="I38:I77" si="18">F38-C38</f>
        <v>200</v>
      </c>
      <c r="J38" s="60">
        <f t="shared" ref="J38:J77" si="19">G38-D38</f>
        <v>0</v>
      </c>
      <c r="K38" s="79">
        <v>0</v>
      </c>
      <c r="L38" s="79">
        <v>0</v>
      </c>
      <c r="M38" s="79">
        <v>0</v>
      </c>
      <c r="N38" s="80" t="s">
        <v>93</v>
      </c>
    </row>
    <row r="39" s="44" customFormat="1" ht="28.5" customHeight="1" spans="1:14">
      <c r="A39" s="67" t="s">
        <v>108</v>
      </c>
      <c r="B39" s="59">
        <f t="shared" si="15"/>
        <v>4522</v>
      </c>
      <c r="C39" s="61">
        <v>4522</v>
      </c>
      <c r="D39" s="61">
        <v>0</v>
      </c>
      <c r="E39" s="59">
        <f t="shared" si="16"/>
        <v>9505.57</v>
      </c>
      <c r="F39" s="61">
        <v>9505.57</v>
      </c>
      <c r="G39" s="61">
        <v>0</v>
      </c>
      <c r="H39" s="61">
        <f t="shared" si="17"/>
        <v>4983.57</v>
      </c>
      <c r="I39" s="61">
        <f t="shared" si="18"/>
        <v>4983.57</v>
      </c>
      <c r="J39" s="60">
        <f t="shared" si="19"/>
        <v>0</v>
      </c>
      <c r="K39" s="79">
        <f t="shared" si="13"/>
        <v>210.207209199469</v>
      </c>
      <c r="L39" s="79">
        <f t="shared" si="14"/>
        <v>210.207209199469</v>
      </c>
      <c r="M39" s="79">
        <v>0</v>
      </c>
      <c r="N39" s="80" t="s">
        <v>93</v>
      </c>
    </row>
    <row r="40" s="44" customFormat="1" ht="28.5" customHeight="1" spans="1:14">
      <c r="A40" s="67" t="s">
        <v>109</v>
      </c>
      <c r="B40" s="59">
        <f t="shared" si="15"/>
        <v>288</v>
      </c>
      <c r="C40" s="61">
        <v>288</v>
      </c>
      <c r="D40" s="61">
        <v>0</v>
      </c>
      <c r="E40" s="59">
        <f t="shared" si="16"/>
        <v>0</v>
      </c>
      <c r="F40" s="61">
        <v>0</v>
      </c>
      <c r="G40" s="61">
        <v>0</v>
      </c>
      <c r="H40" s="61">
        <f t="shared" si="17"/>
        <v>-288</v>
      </c>
      <c r="I40" s="61">
        <f t="shared" si="18"/>
        <v>-288</v>
      </c>
      <c r="J40" s="60">
        <f t="shared" si="19"/>
        <v>0</v>
      </c>
      <c r="K40" s="79">
        <f t="shared" si="13"/>
        <v>0</v>
      </c>
      <c r="L40" s="79">
        <f t="shared" si="14"/>
        <v>0</v>
      </c>
      <c r="M40" s="79">
        <v>0</v>
      </c>
      <c r="N40" s="80" t="s">
        <v>93</v>
      </c>
    </row>
    <row r="41" s="44" customFormat="1" ht="28.5" customHeight="1" spans="1:14">
      <c r="A41" s="67" t="s">
        <v>110</v>
      </c>
      <c r="B41" s="59">
        <f t="shared" si="15"/>
        <v>17</v>
      </c>
      <c r="C41" s="61">
        <v>17</v>
      </c>
      <c r="D41" s="61">
        <v>0</v>
      </c>
      <c r="E41" s="59">
        <f t="shared" si="16"/>
        <v>212.53</v>
      </c>
      <c r="F41" s="61">
        <v>212.53</v>
      </c>
      <c r="G41" s="61">
        <v>0</v>
      </c>
      <c r="H41" s="61">
        <f t="shared" si="17"/>
        <v>195.53</v>
      </c>
      <c r="I41" s="61">
        <f t="shared" si="18"/>
        <v>195.53</v>
      </c>
      <c r="J41" s="60">
        <f t="shared" si="19"/>
        <v>0</v>
      </c>
      <c r="K41" s="79">
        <f t="shared" si="13"/>
        <v>1250.17647058824</v>
      </c>
      <c r="L41" s="79">
        <f t="shared" si="14"/>
        <v>1250.17647058824</v>
      </c>
      <c r="M41" s="79">
        <v>0</v>
      </c>
      <c r="N41" s="80" t="s">
        <v>93</v>
      </c>
    </row>
    <row r="42" s="44" customFormat="1" ht="28.5" customHeight="1" spans="1:14">
      <c r="A42" s="67" t="s">
        <v>111</v>
      </c>
      <c r="B42" s="59">
        <f t="shared" si="15"/>
        <v>0</v>
      </c>
      <c r="C42" s="61">
        <v>0</v>
      </c>
      <c r="D42" s="61">
        <v>0</v>
      </c>
      <c r="E42" s="59">
        <f t="shared" si="16"/>
        <v>1281</v>
      </c>
      <c r="F42" s="61">
        <v>1281</v>
      </c>
      <c r="G42" s="61">
        <v>0</v>
      </c>
      <c r="H42" s="61">
        <f t="shared" si="17"/>
        <v>1281</v>
      </c>
      <c r="I42" s="61">
        <f t="shared" si="18"/>
        <v>1281</v>
      </c>
      <c r="J42" s="60">
        <f t="shared" si="19"/>
        <v>0</v>
      </c>
      <c r="K42" s="79">
        <v>0</v>
      </c>
      <c r="L42" s="79">
        <v>0</v>
      </c>
      <c r="M42" s="79">
        <v>0</v>
      </c>
      <c r="N42" s="80" t="s">
        <v>93</v>
      </c>
    </row>
    <row r="43" s="44" customFormat="1" ht="28.5" customHeight="1" spans="1:14">
      <c r="A43" s="67" t="s">
        <v>112</v>
      </c>
      <c r="B43" s="59">
        <f t="shared" si="15"/>
        <v>0</v>
      </c>
      <c r="C43" s="61">
        <v>0</v>
      </c>
      <c r="D43" s="61">
        <v>0</v>
      </c>
      <c r="E43" s="59">
        <f t="shared" si="16"/>
        <v>0</v>
      </c>
      <c r="F43" s="61">
        <v>0</v>
      </c>
      <c r="G43" s="61">
        <v>0</v>
      </c>
      <c r="H43" s="61">
        <f t="shared" si="17"/>
        <v>0</v>
      </c>
      <c r="I43" s="61">
        <f t="shared" si="18"/>
        <v>0</v>
      </c>
      <c r="J43" s="60">
        <f t="shared" si="19"/>
        <v>0</v>
      </c>
      <c r="K43" s="79">
        <v>0</v>
      </c>
      <c r="L43" s="79">
        <v>0</v>
      </c>
      <c r="M43" s="79">
        <v>0</v>
      </c>
      <c r="N43" s="80" t="s">
        <v>93</v>
      </c>
    </row>
    <row r="44" s="44" customFormat="1" ht="28.5" customHeight="1" spans="1:14">
      <c r="A44" s="67" t="s">
        <v>113</v>
      </c>
      <c r="B44" s="59">
        <f t="shared" si="15"/>
        <v>4197</v>
      </c>
      <c r="C44" s="61">
        <f>SUM(C45:C52)</f>
        <v>4197</v>
      </c>
      <c r="D44" s="61">
        <f>SUM(D45:D52)</f>
        <v>0</v>
      </c>
      <c r="E44" s="59">
        <f t="shared" si="16"/>
        <v>9643</v>
      </c>
      <c r="F44" s="61">
        <f>SUM(F45:F52)</f>
        <v>9643</v>
      </c>
      <c r="G44" s="61">
        <f>SUM(G45:G52)</f>
        <v>0</v>
      </c>
      <c r="H44" s="61">
        <f t="shared" si="17"/>
        <v>5446</v>
      </c>
      <c r="I44" s="61">
        <f t="shared" si="18"/>
        <v>5446</v>
      </c>
      <c r="J44" s="60">
        <f t="shared" si="19"/>
        <v>0</v>
      </c>
      <c r="K44" s="79">
        <f t="shared" si="13"/>
        <v>229.759351918037</v>
      </c>
      <c r="L44" s="79">
        <f t="shared" si="14"/>
        <v>229.759351918037</v>
      </c>
      <c r="M44" s="79">
        <v>0</v>
      </c>
      <c r="N44" s="80" t="s">
        <v>93</v>
      </c>
    </row>
    <row r="45" s="44" customFormat="1" ht="28.5" customHeight="1" spans="1:14">
      <c r="A45" s="64" t="s">
        <v>114</v>
      </c>
      <c r="B45" s="59">
        <f t="shared" si="15"/>
        <v>697</v>
      </c>
      <c r="C45" s="61">
        <v>697</v>
      </c>
      <c r="D45" s="61">
        <v>0</v>
      </c>
      <c r="E45" s="59">
        <f t="shared" si="16"/>
        <v>761</v>
      </c>
      <c r="F45" s="61">
        <v>761</v>
      </c>
      <c r="G45" s="61">
        <v>0</v>
      </c>
      <c r="H45" s="61">
        <f t="shared" si="17"/>
        <v>64</v>
      </c>
      <c r="I45" s="61">
        <f t="shared" si="18"/>
        <v>64</v>
      </c>
      <c r="J45" s="60">
        <f t="shared" si="19"/>
        <v>0</v>
      </c>
      <c r="K45" s="79">
        <f t="shared" si="13"/>
        <v>109.182209469154</v>
      </c>
      <c r="L45" s="79">
        <f t="shared" si="14"/>
        <v>109.182209469154</v>
      </c>
      <c r="M45" s="79">
        <v>0</v>
      </c>
      <c r="N45" s="80" t="s">
        <v>93</v>
      </c>
    </row>
    <row r="46" s="44" customFormat="1" ht="28.5" customHeight="1" spans="1:14">
      <c r="A46" s="64" t="s">
        <v>115</v>
      </c>
      <c r="B46" s="59">
        <f t="shared" si="15"/>
        <v>126</v>
      </c>
      <c r="C46" s="61">
        <v>126</v>
      </c>
      <c r="D46" s="61">
        <v>0</v>
      </c>
      <c r="E46" s="59">
        <f t="shared" si="16"/>
        <v>0</v>
      </c>
      <c r="F46" s="61">
        <v>0</v>
      </c>
      <c r="G46" s="61">
        <v>0</v>
      </c>
      <c r="H46" s="61">
        <f t="shared" si="17"/>
        <v>-126</v>
      </c>
      <c r="I46" s="61">
        <f t="shared" si="18"/>
        <v>-126</v>
      </c>
      <c r="J46" s="60">
        <f t="shared" si="19"/>
        <v>0</v>
      </c>
      <c r="K46" s="79">
        <f t="shared" si="13"/>
        <v>0</v>
      </c>
      <c r="L46" s="79">
        <f t="shared" si="14"/>
        <v>0</v>
      </c>
      <c r="M46" s="79">
        <v>0</v>
      </c>
      <c r="N46" s="80" t="s">
        <v>93</v>
      </c>
    </row>
    <row r="47" s="44" customFormat="1" ht="28.5" customHeight="1" spans="1:14">
      <c r="A47" s="64" t="s">
        <v>116</v>
      </c>
      <c r="B47" s="59">
        <f t="shared" si="15"/>
        <v>36</v>
      </c>
      <c r="C47" s="61">
        <v>36</v>
      </c>
      <c r="D47" s="61">
        <v>0</v>
      </c>
      <c r="E47" s="59">
        <f t="shared" si="16"/>
        <v>36</v>
      </c>
      <c r="F47" s="61">
        <v>36</v>
      </c>
      <c r="G47" s="61">
        <v>0</v>
      </c>
      <c r="H47" s="61">
        <f t="shared" si="17"/>
        <v>0</v>
      </c>
      <c r="I47" s="61">
        <f t="shared" si="18"/>
        <v>0</v>
      </c>
      <c r="J47" s="60">
        <f t="shared" si="19"/>
        <v>0</v>
      </c>
      <c r="K47" s="79">
        <f t="shared" si="13"/>
        <v>100</v>
      </c>
      <c r="L47" s="79">
        <f t="shared" si="14"/>
        <v>100</v>
      </c>
      <c r="M47" s="79">
        <v>0</v>
      </c>
      <c r="N47" s="80" t="s">
        <v>93</v>
      </c>
    </row>
    <row r="48" s="44" customFormat="1" ht="28.5" customHeight="1" spans="1:14">
      <c r="A48" s="64" t="s">
        <v>117</v>
      </c>
      <c r="B48" s="59">
        <f t="shared" si="15"/>
        <v>58</v>
      </c>
      <c r="C48" s="61">
        <v>58</v>
      </c>
      <c r="D48" s="61">
        <v>0</v>
      </c>
      <c r="E48" s="59">
        <f t="shared" si="16"/>
        <v>0</v>
      </c>
      <c r="F48" s="61">
        <v>0</v>
      </c>
      <c r="G48" s="61">
        <v>0</v>
      </c>
      <c r="H48" s="61">
        <f t="shared" si="17"/>
        <v>-58</v>
      </c>
      <c r="I48" s="61">
        <f t="shared" si="18"/>
        <v>-58</v>
      </c>
      <c r="J48" s="60">
        <f t="shared" si="19"/>
        <v>0</v>
      </c>
      <c r="K48" s="79">
        <f t="shared" si="13"/>
        <v>0</v>
      </c>
      <c r="L48" s="79">
        <f t="shared" si="14"/>
        <v>0</v>
      </c>
      <c r="M48" s="79">
        <v>0</v>
      </c>
      <c r="N48" s="80" t="s">
        <v>93</v>
      </c>
    </row>
    <row r="49" s="44" customFormat="1" ht="28.5" customHeight="1" spans="1:14">
      <c r="A49" s="64" t="s">
        <v>118</v>
      </c>
      <c r="B49" s="59">
        <f t="shared" si="15"/>
        <v>2896</v>
      </c>
      <c r="C49" s="61">
        <v>2896</v>
      </c>
      <c r="D49" s="61">
        <v>0</v>
      </c>
      <c r="E49" s="59">
        <f t="shared" si="16"/>
        <v>2896</v>
      </c>
      <c r="F49" s="61">
        <v>2896</v>
      </c>
      <c r="G49" s="61">
        <v>0</v>
      </c>
      <c r="H49" s="61">
        <f t="shared" si="17"/>
        <v>0</v>
      </c>
      <c r="I49" s="61">
        <f t="shared" si="18"/>
        <v>0</v>
      </c>
      <c r="J49" s="60">
        <f t="shared" si="19"/>
        <v>0</v>
      </c>
      <c r="K49" s="79">
        <f t="shared" si="13"/>
        <v>100</v>
      </c>
      <c r="L49" s="79">
        <f t="shared" si="14"/>
        <v>100</v>
      </c>
      <c r="M49" s="79">
        <v>0</v>
      </c>
      <c r="N49" s="80" t="s">
        <v>93</v>
      </c>
    </row>
    <row r="50" s="44" customFormat="1" ht="28.5" customHeight="1" spans="1:14">
      <c r="A50" s="64" t="s">
        <v>119</v>
      </c>
      <c r="B50" s="59">
        <f t="shared" si="15"/>
        <v>4</v>
      </c>
      <c r="C50" s="61">
        <v>4</v>
      </c>
      <c r="D50" s="61">
        <v>0</v>
      </c>
      <c r="E50" s="59">
        <f t="shared" si="16"/>
        <v>4</v>
      </c>
      <c r="F50" s="61">
        <v>4</v>
      </c>
      <c r="G50" s="61">
        <v>0</v>
      </c>
      <c r="H50" s="61">
        <f t="shared" si="17"/>
        <v>0</v>
      </c>
      <c r="I50" s="61">
        <f t="shared" si="18"/>
        <v>0</v>
      </c>
      <c r="J50" s="60">
        <f t="shared" si="19"/>
        <v>0</v>
      </c>
      <c r="K50" s="79">
        <f t="shared" si="13"/>
        <v>100</v>
      </c>
      <c r="L50" s="79">
        <f t="shared" si="14"/>
        <v>100</v>
      </c>
      <c r="M50" s="79">
        <v>0</v>
      </c>
      <c r="N50" s="80" t="s">
        <v>93</v>
      </c>
    </row>
    <row r="51" s="44" customFormat="1" ht="40.5" spans="1:14">
      <c r="A51" s="64" t="s">
        <v>120</v>
      </c>
      <c r="B51" s="59">
        <f t="shared" si="15"/>
        <v>380</v>
      </c>
      <c r="C51" s="61">
        <v>380</v>
      </c>
      <c r="D51" s="61">
        <v>0</v>
      </c>
      <c r="E51" s="59">
        <f t="shared" si="16"/>
        <v>380</v>
      </c>
      <c r="F51" s="61">
        <v>380</v>
      </c>
      <c r="G51" s="61">
        <v>0</v>
      </c>
      <c r="H51" s="61">
        <f t="shared" si="17"/>
        <v>0</v>
      </c>
      <c r="I51" s="61">
        <f t="shared" si="18"/>
        <v>0</v>
      </c>
      <c r="J51" s="60">
        <f t="shared" si="19"/>
        <v>0</v>
      </c>
      <c r="K51" s="79">
        <f t="shared" si="13"/>
        <v>100</v>
      </c>
      <c r="L51" s="79">
        <f t="shared" si="14"/>
        <v>100</v>
      </c>
      <c r="M51" s="79">
        <v>0</v>
      </c>
      <c r="N51" s="80" t="s">
        <v>93</v>
      </c>
    </row>
    <row r="52" s="44" customFormat="1" ht="28.5" customHeight="1" spans="1:14">
      <c r="A52" s="64" t="s">
        <v>121</v>
      </c>
      <c r="B52" s="59">
        <f t="shared" si="15"/>
        <v>0</v>
      </c>
      <c r="C52" s="61">
        <v>0</v>
      </c>
      <c r="D52" s="61">
        <v>0</v>
      </c>
      <c r="E52" s="59">
        <f t="shared" si="16"/>
        <v>5566</v>
      </c>
      <c r="F52" s="61">
        <v>5566</v>
      </c>
      <c r="G52" s="61">
        <v>0</v>
      </c>
      <c r="H52" s="61">
        <f t="shared" si="17"/>
        <v>5566</v>
      </c>
      <c r="I52" s="61">
        <f t="shared" si="18"/>
        <v>5566</v>
      </c>
      <c r="J52" s="60">
        <f t="shared" si="19"/>
        <v>0</v>
      </c>
      <c r="K52" s="79">
        <v>0</v>
      </c>
      <c r="L52" s="79">
        <v>0</v>
      </c>
      <c r="M52" s="79">
        <v>0</v>
      </c>
      <c r="N52" s="80" t="s">
        <v>93</v>
      </c>
    </row>
    <row r="53" s="44" customFormat="1" ht="28.5" customHeight="1" spans="1:14">
      <c r="A53" s="63" t="s">
        <v>122</v>
      </c>
      <c r="B53" s="59">
        <f t="shared" si="15"/>
        <v>24600</v>
      </c>
      <c r="C53" s="61">
        <f>C54+C55</f>
        <v>20000</v>
      </c>
      <c r="D53" s="61">
        <f>D54+D55</f>
        <v>4600</v>
      </c>
      <c r="E53" s="59">
        <f t="shared" si="16"/>
        <v>33431</v>
      </c>
      <c r="F53" s="61">
        <f t="shared" ref="C53:G53" si="20">F54+F55</f>
        <v>26403</v>
      </c>
      <c r="G53" s="61">
        <f t="shared" si="20"/>
        <v>7028</v>
      </c>
      <c r="H53" s="61">
        <f t="shared" si="17"/>
        <v>8831</v>
      </c>
      <c r="I53" s="61">
        <f t="shared" si="18"/>
        <v>6403</v>
      </c>
      <c r="J53" s="60">
        <f t="shared" si="19"/>
        <v>2428</v>
      </c>
      <c r="K53" s="79">
        <f t="shared" si="13"/>
        <v>135.89837398374</v>
      </c>
      <c r="L53" s="79">
        <f t="shared" si="14"/>
        <v>132.015</v>
      </c>
      <c r="M53" s="79">
        <f>J53/D53*100+100</f>
        <v>152.782608695652</v>
      </c>
      <c r="N53" s="80"/>
    </row>
    <row r="54" s="44" customFormat="1" ht="28.5" customHeight="1" spans="1:14">
      <c r="A54" s="63" t="s">
        <v>123</v>
      </c>
      <c r="B54" s="59">
        <f t="shared" si="15"/>
        <v>6619</v>
      </c>
      <c r="C54" s="61">
        <v>6619</v>
      </c>
      <c r="D54" s="61">
        <v>0</v>
      </c>
      <c r="E54" s="59">
        <f t="shared" si="16"/>
        <v>10133</v>
      </c>
      <c r="F54" s="61">
        <f>6619+3514</f>
        <v>10133</v>
      </c>
      <c r="G54" s="61">
        <v>0</v>
      </c>
      <c r="H54" s="61">
        <f t="shared" si="17"/>
        <v>3514</v>
      </c>
      <c r="I54" s="61">
        <f t="shared" si="18"/>
        <v>3514</v>
      </c>
      <c r="J54" s="60">
        <f t="shared" si="19"/>
        <v>0</v>
      </c>
      <c r="K54" s="79">
        <f t="shared" si="13"/>
        <v>153.089590572594</v>
      </c>
      <c r="L54" s="79">
        <f t="shared" si="14"/>
        <v>153.089590572594</v>
      </c>
      <c r="M54" s="79">
        <v>0</v>
      </c>
      <c r="N54" s="80"/>
    </row>
    <row r="55" s="44" customFormat="1" ht="28.5" customHeight="1" spans="1:14">
      <c r="A55" s="63" t="s">
        <v>124</v>
      </c>
      <c r="B55" s="59">
        <f t="shared" si="15"/>
        <v>17981</v>
      </c>
      <c r="C55" s="59">
        <f>SUM(C56:C68)</f>
        <v>13381</v>
      </c>
      <c r="D55" s="59">
        <f>SUM(D56:D71)</f>
        <v>4600</v>
      </c>
      <c r="E55" s="59">
        <f t="shared" si="16"/>
        <v>23298</v>
      </c>
      <c r="F55" s="59">
        <f>SUM(F56:F71)</f>
        <v>16270</v>
      </c>
      <c r="G55" s="59">
        <f>SUM(G56:G71)</f>
        <v>7028</v>
      </c>
      <c r="H55" s="61">
        <f t="shared" si="17"/>
        <v>5317</v>
      </c>
      <c r="I55" s="61">
        <f t="shared" si="18"/>
        <v>2889</v>
      </c>
      <c r="J55" s="60">
        <f t="shared" si="19"/>
        <v>2428</v>
      </c>
      <c r="K55" s="79">
        <f t="shared" si="13"/>
        <v>129.570101774095</v>
      </c>
      <c r="L55" s="79">
        <f t="shared" si="14"/>
        <v>121.590314625215</v>
      </c>
      <c r="M55" s="79">
        <f>J55/D55*100+100</f>
        <v>152.782608695652</v>
      </c>
      <c r="N55" s="80"/>
    </row>
    <row r="56" s="44" customFormat="1" ht="28.5" customHeight="1" spans="1:14">
      <c r="A56" s="63" t="s">
        <v>125</v>
      </c>
      <c r="B56" s="59">
        <f t="shared" si="15"/>
        <v>890</v>
      </c>
      <c r="C56" s="61">
        <v>890</v>
      </c>
      <c r="D56" s="61">
        <v>0</v>
      </c>
      <c r="E56" s="59">
        <f t="shared" si="16"/>
        <v>890</v>
      </c>
      <c r="F56" s="61">
        <v>890</v>
      </c>
      <c r="G56" s="61">
        <v>0</v>
      </c>
      <c r="H56" s="61">
        <f t="shared" si="17"/>
        <v>0</v>
      </c>
      <c r="I56" s="61">
        <f t="shared" si="18"/>
        <v>0</v>
      </c>
      <c r="J56" s="60">
        <f t="shared" si="19"/>
        <v>0</v>
      </c>
      <c r="K56" s="79">
        <f t="shared" si="13"/>
        <v>100</v>
      </c>
      <c r="L56" s="79">
        <f t="shared" si="14"/>
        <v>100</v>
      </c>
      <c r="M56" s="79">
        <v>0</v>
      </c>
      <c r="N56" s="80"/>
    </row>
    <row r="57" s="44" customFormat="1" ht="28.5" customHeight="1" spans="1:14">
      <c r="A57" s="63" t="s">
        <v>126</v>
      </c>
      <c r="B57" s="59">
        <f t="shared" si="15"/>
        <v>0</v>
      </c>
      <c r="C57" s="61">
        <v>0</v>
      </c>
      <c r="D57" s="61">
        <v>0</v>
      </c>
      <c r="E57" s="59">
        <f t="shared" si="16"/>
        <v>0</v>
      </c>
      <c r="F57" s="61">
        <v>0</v>
      </c>
      <c r="G57" s="61">
        <v>0</v>
      </c>
      <c r="H57" s="61">
        <f t="shared" si="17"/>
        <v>0</v>
      </c>
      <c r="I57" s="61">
        <f t="shared" si="18"/>
        <v>0</v>
      </c>
      <c r="J57" s="60">
        <f t="shared" si="19"/>
        <v>0</v>
      </c>
      <c r="K57" s="79">
        <v>0</v>
      </c>
      <c r="L57" s="79">
        <v>0</v>
      </c>
      <c r="M57" s="79">
        <v>0</v>
      </c>
      <c r="N57" s="80"/>
    </row>
    <row r="58" s="44" customFormat="1" ht="39" customHeight="1" spans="1:14">
      <c r="A58" s="63" t="s">
        <v>127</v>
      </c>
      <c r="B58" s="59">
        <f t="shared" si="15"/>
        <v>3467</v>
      </c>
      <c r="C58" s="61">
        <v>3467</v>
      </c>
      <c r="D58" s="61">
        <v>0</v>
      </c>
      <c r="E58" s="59">
        <f t="shared" si="16"/>
        <v>3467</v>
      </c>
      <c r="F58" s="61">
        <v>3467</v>
      </c>
      <c r="G58" s="61">
        <v>0</v>
      </c>
      <c r="H58" s="61">
        <f t="shared" si="17"/>
        <v>0</v>
      </c>
      <c r="I58" s="61">
        <f t="shared" si="18"/>
        <v>0</v>
      </c>
      <c r="J58" s="60">
        <f t="shared" si="19"/>
        <v>0</v>
      </c>
      <c r="K58" s="79">
        <f t="shared" si="13"/>
        <v>100</v>
      </c>
      <c r="L58" s="79">
        <f t="shared" si="14"/>
        <v>100</v>
      </c>
      <c r="M58" s="79">
        <v>0</v>
      </c>
      <c r="N58" s="80"/>
    </row>
    <row r="59" s="44" customFormat="1" ht="39" customHeight="1" spans="1:14">
      <c r="A59" s="68" t="s">
        <v>128</v>
      </c>
      <c r="B59" s="59">
        <f t="shared" si="15"/>
        <v>30</v>
      </c>
      <c r="C59" s="61">
        <v>30</v>
      </c>
      <c r="D59" s="61">
        <v>0</v>
      </c>
      <c r="E59" s="59">
        <f t="shared" si="16"/>
        <v>30</v>
      </c>
      <c r="F59" s="61">
        <v>30</v>
      </c>
      <c r="G59" s="61">
        <v>0</v>
      </c>
      <c r="H59" s="61">
        <f t="shared" si="17"/>
        <v>0</v>
      </c>
      <c r="I59" s="61">
        <f t="shared" si="18"/>
        <v>0</v>
      </c>
      <c r="J59" s="60">
        <f t="shared" si="19"/>
        <v>0</v>
      </c>
      <c r="K59" s="79">
        <f t="shared" si="13"/>
        <v>100</v>
      </c>
      <c r="L59" s="79">
        <f t="shared" si="14"/>
        <v>100</v>
      </c>
      <c r="M59" s="79">
        <v>0</v>
      </c>
      <c r="N59" s="80"/>
    </row>
    <row r="60" s="44" customFormat="1" ht="39" customHeight="1" spans="1:14">
      <c r="A60" s="68" t="s">
        <v>129</v>
      </c>
      <c r="B60" s="59">
        <f t="shared" si="15"/>
        <v>4000</v>
      </c>
      <c r="C60" s="61">
        <v>4000</v>
      </c>
      <c r="D60" s="61">
        <v>0</v>
      </c>
      <c r="E60" s="59">
        <f t="shared" si="16"/>
        <v>4000</v>
      </c>
      <c r="F60" s="61">
        <v>4000</v>
      </c>
      <c r="G60" s="61">
        <v>0</v>
      </c>
      <c r="H60" s="61">
        <f t="shared" si="17"/>
        <v>0</v>
      </c>
      <c r="I60" s="61">
        <f t="shared" si="18"/>
        <v>0</v>
      </c>
      <c r="J60" s="60">
        <f t="shared" si="19"/>
        <v>0</v>
      </c>
      <c r="K60" s="79">
        <f t="shared" si="13"/>
        <v>100</v>
      </c>
      <c r="L60" s="79">
        <f t="shared" si="14"/>
        <v>100</v>
      </c>
      <c r="M60" s="79">
        <v>0</v>
      </c>
      <c r="N60" s="80"/>
    </row>
    <row r="61" s="44" customFormat="1" ht="39" customHeight="1" spans="1:14">
      <c r="A61" s="68" t="s">
        <v>130</v>
      </c>
      <c r="B61" s="59">
        <f t="shared" si="15"/>
        <v>460</v>
      </c>
      <c r="C61" s="61">
        <v>460</v>
      </c>
      <c r="D61" s="61">
        <v>0</v>
      </c>
      <c r="E61" s="59">
        <f t="shared" si="16"/>
        <v>69</v>
      </c>
      <c r="F61" s="61">
        <v>69</v>
      </c>
      <c r="G61" s="61">
        <v>0</v>
      </c>
      <c r="H61" s="61">
        <f t="shared" si="17"/>
        <v>-391</v>
      </c>
      <c r="I61" s="61">
        <f t="shared" si="18"/>
        <v>-391</v>
      </c>
      <c r="J61" s="60">
        <f t="shared" si="19"/>
        <v>0</v>
      </c>
      <c r="K61" s="79">
        <f t="shared" si="13"/>
        <v>15</v>
      </c>
      <c r="L61" s="79">
        <f t="shared" si="14"/>
        <v>15</v>
      </c>
      <c r="M61" s="79">
        <v>0</v>
      </c>
      <c r="N61" s="80"/>
    </row>
    <row r="62" s="44" customFormat="1" ht="39" customHeight="1" spans="1:14">
      <c r="A62" s="68" t="s">
        <v>131</v>
      </c>
      <c r="B62" s="59">
        <f t="shared" si="15"/>
        <v>1500</v>
      </c>
      <c r="C62" s="61">
        <v>1500</v>
      </c>
      <c r="D62" s="61">
        <v>0</v>
      </c>
      <c r="E62" s="59">
        <f t="shared" si="16"/>
        <v>1500</v>
      </c>
      <c r="F62" s="61">
        <v>1500</v>
      </c>
      <c r="G62" s="61">
        <v>0</v>
      </c>
      <c r="H62" s="61">
        <f t="shared" si="17"/>
        <v>0</v>
      </c>
      <c r="I62" s="61">
        <f t="shared" si="18"/>
        <v>0</v>
      </c>
      <c r="J62" s="60">
        <f t="shared" si="19"/>
        <v>0</v>
      </c>
      <c r="K62" s="79">
        <f t="shared" si="13"/>
        <v>100</v>
      </c>
      <c r="L62" s="79">
        <f t="shared" si="14"/>
        <v>100</v>
      </c>
      <c r="M62" s="79">
        <v>0</v>
      </c>
      <c r="N62" s="80"/>
    </row>
    <row r="63" s="44" customFormat="1" ht="39" customHeight="1" spans="1:14">
      <c r="A63" s="68" t="s">
        <v>132</v>
      </c>
      <c r="B63" s="59">
        <f t="shared" si="15"/>
        <v>1200</v>
      </c>
      <c r="C63" s="61">
        <v>1200</v>
      </c>
      <c r="D63" s="61">
        <v>0</v>
      </c>
      <c r="E63" s="59">
        <f t="shared" si="16"/>
        <v>1200</v>
      </c>
      <c r="F63" s="61">
        <v>1200</v>
      </c>
      <c r="G63" s="61">
        <v>0</v>
      </c>
      <c r="H63" s="61">
        <f t="shared" si="17"/>
        <v>0</v>
      </c>
      <c r="I63" s="61">
        <f t="shared" si="18"/>
        <v>0</v>
      </c>
      <c r="J63" s="60">
        <f t="shared" si="19"/>
        <v>0</v>
      </c>
      <c r="K63" s="79">
        <f t="shared" si="13"/>
        <v>100</v>
      </c>
      <c r="L63" s="79">
        <f t="shared" si="14"/>
        <v>100</v>
      </c>
      <c r="M63" s="79">
        <v>0</v>
      </c>
      <c r="N63" s="80"/>
    </row>
    <row r="64" s="44" customFormat="1" ht="39" customHeight="1" spans="1:14">
      <c r="A64" s="63" t="s">
        <v>133</v>
      </c>
      <c r="B64" s="59">
        <f t="shared" si="15"/>
        <v>1200</v>
      </c>
      <c r="C64" s="61">
        <v>1200</v>
      </c>
      <c r="D64" s="61">
        <v>0</v>
      </c>
      <c r="E64" s="59">
        <f t="shared" si="16"/>
        <v>1200</v>
      </c>
      <c r="F64" s="61">
        <v>1200</v>
      </c>
      <c r="G64" s="61">
        <v>0</v>
      </c>
      <c r="H64" s="61">
        <f t="shared" si="17"/>
        <v>0</v>
      </c>
      <c r="I64" s="61">
        <f t="shared" si="18"/>
        <v>0</v>
      </c>
      <c r="J64" s="60">
        <f t="shared" si="19"/>
        <v>0</v>
      </c>
      <c r="K64" s="79">
        <f t="shared" si="13"/>
        <v>100</v>
      </c>
      <c r="L64" s="79">
        <f t="shared" si="14"/>
        <v>100</v>
      </c>
      <c r="M64" s="79">
        <v>0</v>
      </c>
      <c r="N64" s="80"/>
    </row>
    <row r="65" s="44" customFormat="1" ht="59.25" customHeight="1" spans="1:14">
      <c r="A65" s="63" t="s">
        <v>134</v>
      </c>
      <c r="B65" s="59">
        <f t="shared" si="15"/>
        <v>0</v>
      </c>
      <c r="C65" s="61">
        <v>0</v>
      </c>
      <c r="D65" s="61">
        <v>0</v>
      </c>
      <c r="E65" s="59">
        <f t="shared" si="16"/>
        <v>0</v>
      </c>
      <c r="F65" s="61">
        <v>0</v>
      </c>
      <c r="G65" s="61">
        <v>0</v>
      </c>
      <c r="H65" s="61">
        <f t="shared" si="17"/>
        <v>0</v>
      </c>
      <c r="I65" s="61">
        <f t="shared" si="18"/>
        <v>0</v>
      </c>
      <c r="J65" s="60">
        <f t="shared" si="19"/>
        <v>0</v>
      </c>
      <c r="K65" s="79">
        <v>0</v>
      </c>
      <c r="L65" s="79">
        <v>0</v>
      </c>
      <c r="M65" s="79">
        <v>0</v>
      </c>
      <c r="N65" s="80"/>
    </row>
    <row r="66" s="44" customFormat="1" ht="45" customHeight="1" spans="1:14">
      <c r="A66" s="63" t="s">
        <v>135</v>
      </c>
      <c r="B66" s="59">
        <f t="shared" si="15"/>
        <v>0</v>
      </c>
      <c r="C66" s="61">
        <v>0</v>
      </c>
      <c r="D66" s="61">
        <v>0</v>
      </c>
      <c r="E66" s="59">
        <f t="shared" si="16"/>
        <v>0</v>
      </c>
      <c r="F66" s="61">
        <v>0</v>
      </c>
      <c r="G66" s="61">
        <v>0</v>
      </c>
      <c r="H66" s="61">
        <f t="shared" si="17"/>
        <v>0</v>
      </c>
      <c r="I66" s="61">
        <f t="shared" si="18"/>
        <v>0</v>
      </c>
      <c r="J66" s="60">
        <f t="shared" si="19"/>
        <v>0</v>
      </c>
      <c r="K66" s="79">
        <v>0</v>
      </c>
      <c r="L66" s="79">
        <v>0</v>
      </c>
      <c r="M66" s="79">
        <v>0</v>
      </c>
      <c r="N66" s="80"/>
    </row>
    <row r="67" s="44" customFormat="1" ht="38" customHeight="1" spans="1:14">
      <c r="A67" s="63" t="s">
        <v>136</v>
      </c>
      <c r="B67" s="59">
        <f t="shared" si="15"/>
        <v>634</v>
      </c>
      <c r="C67" s="61">
        <v>634</v>
      </c>
      <c r="D67" s="61">
        <v>0</v>
      </c>
      <c r="E67" s="59">
        <f t="shared" si="16"/>
        <v>634</v>
      </c>
      <c r="F67" s="61">
        <v>634</v>
      </c>
      <c r="G67" s="61">
        <v>0</v>
      </c>
      <c r="H67" s="61">
        <f t="shared" si="17"/>
        <v>0</v>
      </c>
      <c r="I67" s="61">
        <f t="shared" si="18"/>
        <v>0</v>
      </c>
      <c r="J67" s="60">
        <f t="shared" si="19"/>
        <v>0</v>
      </c>
      <c r="K67" s="79">
        <f t="shared" si="13"/>
        <v>100</v>
      </c>
      <c r="L67" s="79">
        <f t="shared" si="14"/>
        <v>100</v>
      </c>
      <c r="M67" s="79">
        <v>0</v>
      </c>
      <c r="N67" s="80"/>
    </row>
    <row r="68" s="44" customFormat="1" ht="23" customHeight="1" spans="1:14">
      <c r="A68" s="63" t="s">
        <v>137</v>
      </c>
      <c r="B68" s="59">
        <f t="shared" si="15"/>
        <v>3190</v>
      </c>
      <c r="C68" s="61">
        <v>0</v>
      </c>
      <c r="D68" s="61">
        <v>3190</v>
      </c>
      <c r="E68" s="59">
        <f t="shared" si="16"/>
        <v>3194</v>
      </c>
      <c r="F68" s="61">
        <v>0</v>
      </c>
      <c r="G68" s="61">
        <v>3194</v>
      </c>
      <c r="H68" s="61">
        <f t="shared" si="17"/>
        <v>4</v>
      </c>
      <c r="I68" s="61">
        <f t="shared" si="18"/>
        <v>0</v>
      </c>
      <c r="J68" s="60">
        <f t="shared" si="19"/>
        <v>4</v>
      </c>
      <c r="K68" s="79">
        <f t="shared" si="13"/>
        <v>100.12539184953</v>
      </c>
      <c r="L68" s="79">
        <v>0</v>
      </c>
      <c r="M68" s="79">
        <f>J68/D68*100+100</f>
        <v>100.12539184953</v>
      </c>
      <c r="N68" s="80"/>
    </row>
    <row r="69" s="44" customFormat="1" ht="23" customHeight="1" spans="1:14">
      <c r="A69" s="63" t="s">
        <v>138</v>
      </c>
      <c r="B69" s="59">
        <f t="shared" si="15"/>
        <v>374</v>
      </c>
      <c r="C69" s="61">
        <v>0</v>
      </c>
      <c r="D69" s="61">
        <v>374</v>
      </c>
      <c r="E69" s="59">
        <f t="shared" si="16"/>
        <v>1879</v>
      </c>
      <c r="F69" s="61">
        <v>1505</v>
      </c>
      <c r="G69" s="61">
        <v>374</v>
      </c>
      <c r="H69" s="61">
        <f t="shared" si="17"/>
        <v>1505</v>
      </c>
      <c r="I69" s="61">
        <f t="shared" si="18"/>
        <v>1505</v>
      </c>
      <c r="J69" s="60">
        <f t="shared" si="19"/>
        <v>0</v>
      </c>
      <c r="K69" s="79">
        <f t="shared" si="13"/>
        <v>502.406417112299</v>
      </c>
      <c r="L69" s="79">
        <v>0</v>
      </c>
      <c r="M69" s="79">
        <f>J69/D69*100+100</f>
        <v>100</v>
      </c>
      <c r="N69" s="80"/>
    </row>
    <row r="70" s="44" customFormat="1" ht="23" customHeight="1" spans="1:14">
      <c r="A70" s="63" t="s">
        <v>139</v>
      </c>
      <c r="B70" s="59">
        <f t="shared" si="15"/>
        <v>0</v>
      </c>
      <c r="C70" s="61">
        <v>0</v>
      </c>
      <c r="D70" s="61">
        <v>0</v>
      </c>
      <c r="E70" s="59">
        <f t="shared" si="16"/>
        <v>4199</v>
      </c>
      <c r="F70" s="61">
        <v>1775</v>
      </c>
      <c r="G70" s="61">
        <v>2424</v>
      </c>
      <c r="H70" s="61">
        <f t="shared" si="17"/>
        <v>4199</v>
      </c>
      <c r="I70" s="61">
        <f t="shared" si="18"/>
        <v>1775</v>
      </c>
      <c r="J70" s="60">
        <f t="shared" si="19"/>
        <v>2424</v>
      </c>
      <c r="K70" s="79">
        <v>0</v>
      </c>
      <c r="L70" s="79">
        <v>0</v>
      </c>
      <c r="M70" s="79">
        <v>0</v>
      </c>
      <c r="N70" s="80"/>
    </row>
    <row r="71" s="46" customFormat="1" ht="23" customHeight="1" spans="1:14">
      <c r="A71" s="81" t="s">
        <v>140</v>
      </c>
      <c r="B71" s="59">
        <f t="shared" si="15"/>
        <v>1036</v>
      </c>
      <c r="C71" s="61">
        <v>0</v>
      </c>
      <c r="D71" s="82">
        <v>1036</v>
      </c>
      <c r="E71" s="59">
        <f t="shared" si="16"/>
        <v>1036</v>
      </c>
      <c r="F71" s="59">
        <v>0</v>
      </c>
      <c r="G71" s="59">
        <v>1036</v>
      </c>
      <c r="H71" s="61">
        <f t="shared" si="17"/>
        <v>0</v>
      </c>
      <c r="I71" s="61">
        <f t="shared" si="18"/>
        <v>0</v>
      </c>
      <c r="J71" s="60">
        <f t="shared" si="19"/>
        <v>0</v>
      </c>
      <c r="K71" s="79">
        <f>H71/B71*100+100</f>
        <v>100</v>
      </c>
      <c r="L71" s="79">
        <v>0</v>
      </c>
      <c r="M71" s="79">
        <f>J71/D71*100+100</f>
        <v>100</v>
      </c>
      <c r="N71" s="83"/>
    </row>
    <row r="72" s="46" customFormat="1" ht="23" customHeight="1" spans="1:14">
      <c r="A72" s="81" t="s">
        <v>141</v>
      </c>
      <c r="B72" s="59">
        <f t="shared" si="15"/>
        <v>0</v>
      </c>
      <c r="C72" s="61">
        <v>0</v>
      </c>
      <c r="D72" s="82">
        <v>0</v>
      </c>
      <c r="E72" s="59">
        <f t="shared" si="16"/>
        <v>21135</v>
      </c>
      <c r="F72" s="59">
        <v>21135</v>
      </c>
      <c r="G72" s="59">
        <v>0</v>
      </c>
      <c r="H72" s="61">
        <f t="shared" si="17"/>
        <v>21135</v>
      </c>
      <c r="I72" s="61">
        <f t="shared" si="18"/>
        <v>21135</v>
      </c>
      <c r="J72" s="60">
        <f t="shared" si="19"/>
        <v>0</v>
      </c>
      <c r="K72" s="79">
        <v>0</v>
      </c>
      <c r="L72" s="79">
        <v>0</v>
      </c>
      <c r="M72" s="79">
        <v>0</v>
      </c>
      <c r="N72" s="83"/>
    </row>
    <row r="73" s="46" customFormat="1" ht="23" customHeight="1" spans="1:14">
      <c r="A73" s="81" t="s">
        <v>142</v>
      </c>
      <c r="B73" s="59">
        <f t="shared" si="15"/>
        <v>0</v>
      </c>
      <c r="C73" s="61">
        <v>0</v>
      </c>
      <c r="D73" s="82">
        <v>0</v>
      </c>
      <c r="E73" s="59">
        <f t="shared" si="16"/>
        <v>1805</v>
      </c>
      <c r="F73" s="59">
        <v>1805</v>
      </c>
      <c r="G73" s="59">
        <v>0</v>
      </c>
      <c r="H73" s="61">
        <f t="shared" si="17"/>
        <v>1805</v>
      </c>
      <c r="I73" s="61">
        <f t="shared" si="18"/>
        <v>1805</v>
      </c>
      <c r="J73" s="60">
        <f t="shared" si="19"/>
        <v>0</v>
      </c>
      <c r="K73" s="79">
        <v>0</v>
      </c>
      <c r="L73" s="79">
        <v>0</v>
      </c>
      <c r="M73" s="79">
        <v>0</v>
      </c>
      <c r="N73" s="83"/>
    </row>
    <row r="74" s="44" customFormat="1" ht="23" customHeight="1" spans="1:14">
      <c r="A74" s="63" t="s">
        <v>143</v>
      </c>
      <c r="B74" s="59">
        <f t="shared" si="15"/>
        <v>0</v>
      </c>
      <c r="C74" s="61">
        <v>0</v>
      </c>
      <c r="D74" s="61">
        <v>0</v>
      </c>
      <c r="E74" s="59">
        <f t="shared" si="16"/>
        <v>0</v>
      </c>
      <c r="F74" s="59">
        <v>0</v>
      </c>
      <c r="G74" s="59">
        <v>0</v>
      </c>
      <c r="H74" s="61">
        <f t="shared" si="17"/>
        <v>0</v>
      </c>
      <c r="I74" s="61">
        <f t="shared" si="18"/>
        <v>0</v>
      </c>
      <c r="J74" s="60">
        <f t="shared" si="19"/>
        <v>0</v>
      </c>
      <c r="K74" s="79">
        <v>0</v>
      </c>
      <c r="L74" s="79">
        <v>0</v>
      </c>
      <c r="M74" s="79">
        <v>0</v>
      </c>
      <c r="N74" s="80"/>
    </row>
    <row r="75" s="44" customFormat="1" ht="23" customHeight="1" spans="1:14">
      <c r="A75" s="63" t="s">
        <v>144</v>
      </c>
      <c r="B75" s="59">
        <f t="shared" si="15"/>
        <v>31294</v>
      </c>
      <c r="C75" s="61">
        <v>5000</v>
      </c>
      <c r="D75" s="61">
        <v>26294</v>
      </c>
      <c r="E75" s="59">
        <f t="shared" si="16"/>
        <v>34184</v>
      </c>
      <c r="F75" s="61">
        <v>5000</v>
      </c>
      <c r="G75" s="61">
        <v>29184</v>
      </c>
      <c r="H75" s="61">
        <f t="shared" si="17"/>
        <v>2890</v>
      </c>
      <c r="I75" s="61">
        <f t="shared" si="18"/>
        <v>0</v>
      </c>
      <c r="J75" s="60">
        <f t="shared" si="19"/>
        <v>2890</v>
      </c>
      <c r="K75" s="79">
        <f>H75/B75*100+100</f>
        <v>109.234997124049</v>
      </c>
      <c r="L75" s="79">
        <f>I75/C75*100+100</f>
        <v>100</v>
      </c>
      <c r="M75" s="79">
        <f>J75/D75*100+100</f>
        <v>110.991100631323</v>
      </c>
      <c r="N75" s="80"/>
    </row>
    <row r="76" s="44" customFormat="1" ht="28.5" customHeight="1" spans="1:14">
      <c r="A76" s="63" t="s">
        <v>145</v>
      </c>
      <c r="B76" s="59">
        <f t="shared" si="15"/>
        <v>0</v>
      </c>
      <c r="C76" s="61">
        <v>0</v>
      </c>
      <c r="D76" s="61">
        <v>0</v>
      </c>
      <c r="E76" s="59">
        <f t="shared" si="16"/>
        <v>61698</v>
      </c>
      <c r="F76" s="61">
        <f>42+61656</f>
        <v>61698</v>
      </c>
      <c r="G76" s="61">
        <v>0</v>
      </c>
      <c r="H76" s="61">
        <f t="shared" si="17"/>
        <v>61698</v>
      </c>
      <c r="I76" s="61">
        <f t="shared" si="18"/>
        <v>61698</v>
      </c>
      <c r="J76" s="60">
        <f t="shared" si="19"/>
        <v>0</v>
      </c>
      <c r="K76" s="79">
        <v>0</v>
      </c>
      <c r="L76" s="79">
        <v>0</v>
      </c>
      <c r="M76" s="79">
        <v>0</v>
      </c>
      <c r="N76" s="80"/>
    </row>
    <row r="77" s="44" customFormat="1" ht="28.5" customHeight="1" spans="1:14">
      <c r="A77" s="63" t="s">
        <v>146</v>
      </c>
      <c r="B77" s="61">
        <f t="shared" ref="B77:G77" si="21">B5+B6-B53+B74+B76+B75-B72-B73</f>
        <v>901726.559469</v>
      </c>
      <c r="C77" s="61">
        <f t="shared" si="21"/>
        <v>693727</v>
      </c>
      <c r="D77" s="61">
        <f t="shared" si="21"/>
        <v>207999.559469</v>
      </c>
      <c r="E77" s="61">
        <f t="shared" si="21"/>
        <v>1042708.98</v>
      </c>
      <c r="F77" s="61">
        <f t="shared" si="21"/>
        <v>825373.64</v>
      </c>
      <c r="G77" s="61">
        <f t="shared" si="21"/>
        <v>217335.34</v>
      </c>
      <c r="H77" s="61">
        <f t="shared" si="17"/>
        <v>140982.420531</v>
      </c>
      <c r="I77" s="61">
        <f t="shared" si="18"/>
        <v>131646.64</v>
      </c>
      <c r="J77" s="60">
        <f t="shared" si="19"/>
        <v>9335.780531</v>
      </c>
      <c r="K77" s="79">
        <f>H77/B77*100+100</f>
        <v>115.634719755179</v>
      </c>
      <c r="L77" s="79">
        <f>I77/C77*100+100</f>
        <v>118.976721390403</v>
      </c>
      <c r="M77" s="79">
        <f>J77/D77*100+100</f>
        <v>104.488365530597</v>
      </c>
      <c r="N77" s="80"/>
    </row>
  </sheetData>
  <mergeCells count="10">
    <mergeCell ref="A1:N1"/>
    <mergeCell ref="A2:B2"/>
    <mergeCell ref="E2:I2"/>
    <mergeCell ref="M2:N2"/>
    <mergeCell ref="B3:D3"/>
    <mergeCell ref="E3:G3"/>
    <mergeCell ref="H3:J3"/>
    <mergeCell ref="K3:M3"/>
    <mergeCell ref="A3:A4"/>
    <mergeCell ref="N3:N4"/>
  </mergeCells>
  <pageMargins left="0.708333333333333" right="0.708333333333333" top="0.747916666666667" bottom="0.747916666666667" header="0.314583333333333" footer="0.314583333333333"/>
  <pageSetup paperSize="9" scale="71" fitToHeight="0" orientation="landscape" horizontalDpi="600"/>
  <headerFooter>
    <oddFooter>&amp;C第 &amp;P 页</oddFooter>
  </headerFooter>
  <rowBreaks count="1" manualBreakCount="1">
    <brk id="7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4"/>
  <sheetViews>
    <sheetView showZeros="0" view="pageBreakPreview" zoomScaleNormal="100" workbookViewId="0">
      <pane xSplit="2" ySplit="4" topLeftCell="L22" activePane="bottomRight" state="frozen"/>
      <selection/>
      <selection pane="topRight"/>
      <selection pane="bottomLeft"/>
      <selection pane="bottomRight" activeCell="AB33" sqref="AB33"/>
    </sheetView>
  </sheetViews>
  <sheetFormatPr defaultColWidth="9" defaultRowHeight="13.5"/>
  <cols>
    <col min="1" max="1" width="7.5" style="33" customWidth="1"/>
    <col min="2" max="2" width="15.875" style="33" customWidth="1"/>
    <col min="3" max="3" width="7.875" style="33" customWidth="1"/>
    <col min="4" max="4" width="9.25" style="33" customWidth="1"/>
    <col min="5" max="5" width="12.125" style="33"/>
    <col min="6" max="8" width="7" style="33" customWidth="1"/>
    <col min="9" max="10" width="8.375" style="33" customWidth="1"/>
    <col min="11" max="11" width="6.875" style="33" customWidth="1"/>
    <col min="12" max="14" width="7" style="33" customWidth="1"/>
    <col min="15" max="15" width="7.5" style="33" customWidth="1"/>
    <col min="16" max="17" width="7" style="33" customWidth="1"/>
    <col min="18" max="18" width="7.625" style="33" customWidth="1"/>
    <col min="19" max="26" width="7" style="33" customWidth="1"/>
    <col min="27" max="27" width="11.125" style="33" customWidth="1"/>
    <col min="28" max="29" width="8.875" style="33" customWidth="1"/>
    <col min="30" max="30" width="10.625" style="34" customWidth="1"/>
    <col min="31" max="31" width="10.625" style="4" customWidth="1"/>
    <col min="32" max="32" width="12.125" style="4"/>
    <col min="33" max="33" width="11.5" style="33" customWidth="1"/>
    <col min="34" max="16384" width="9" style="33"/>
  </cols>
  <sheetData>
    <row r="1" s="33" customFormat="1" ht="27" spans="1:32">
      <c r="A1" s="5" t="s">
        <v>147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="33" customFormat="1" ht="18.75" spans="1:32">
      <c r="A2" s="33" t="s">
        <v>1</v>
      </c>
      <c r="B2" s="35"/>
      <c r="C2" s="26"/>
      <c r="D2" s="26"/>
      <c r="E2" s="26"/>
      <c r="F2" s="36"/>
      <c r="G2" s="10" t="str">
        <f>附表1收入调整表2021!E2</f>
        <v>编制日期：2021年12月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26"/>
      <c r="AA2" s="26"/>
      <c r="AB2" s="26"/>
      <c r="AC2" s="26"/>
      <c r="AD2" s="40"/>
      <c r="AE2" s="41" t="s">
        <v>3</v>
      </c>
      <c r="AF2" s="41"/>
    </row>
    <row r="3" s="33" customFormat="1" ht="48" customHeight="1" spans="1:32">
      <c r="A3" s="11" t="s">
        <v>148</v>
      </c>
      <c r="B3" s="11" t="s">
        <v>149</v>
      </c>
      <c r="C3" s="11" t="s">
        <v>150</v>
      </c>
      <c r="D3" s="12" t="s">
        <v>151</v>
      </c>
      <c r="E3" s="12"/>
      <c r="F3" s="11" t="s">
        <v>152</v>
      </c>
      <c r="G3" s="12" t="s">
        <v>151</v>
      </c>
      <c r="H3" s="12"/>
      <c r="I3" s="11" t="s">
        <v>153</v>
      </c>
      <c r="J3" s="12" t="s">
        <v>151</v>
      </c>
      <c r="K3" s="12"/>
      <c r="L3" s="11" t="s">
        <v>154</v>
      </c>
      <c r="M3" s="12" t="s">
        <v>151</v>
      </c>
      <c r="N3" s="12"/>
      <c r="O3" s="22" t="s">
        <v>155</v>
      </c>
      <c r="P3" s="12" t="s">
        <v>151</v>
      </c>
      <c r="Q3" s="12"/>
      <c r="R3" s="22" t="s">
        <v>156</v>
      </c>
      <c r="S3" s="12" t="s">
        <v>151</v>
      </c>
      <c r="T3" s="12"/>
      <c r="U3" s="11" t="s">
        <v>157</v>
      </c>
      <c r="V3" s="12" t="s">
        <v>151</v>
      </c>
      <c r="W3" s="12"/>
      <c r="X3" s="11" t="s">
        <v>158</v>
      </c>
      <c r="Y3" s="12" t="s">
        <v>151</v>
      </c>
      <c r="Z3" s="12"/>
      <c r="AA3" s="11" t="s">
        <v>159</v>
      </c>
      <c r="AB3" s="12" t="s">
        <v>151</v>
      </c>
      <c r="AC3" s="12"/>
      <c r="AD3" s="11" t="s">
        <v>160</v>
      </c>
      <c r="AE3" s="28" t="s">
        <v>151</v>
      </c>
      <c r="AF3" s="28"/>
    </row>
    <row r="4" s="33" customFormat="1" ht="48" customHeight="1" spans="1:32">
      <c r="A4" s="11"/>
      <c r="B4" s="11"/>
      <c r="C4" s="11"/>
      <c r="D4" s="13" t="s">
        <v>10</v>
      </c>
      <c r="E4" s="13" t="s">
        <v>11</v>
      </c>
      <c r="F4" s="11"/>
      <c r="G4" s="13" t="s">
        <v>10</v>
      </c>
      <c r="H4" s="13" t="s">
        <v>11</v>
      </c>
      <c r="I4" s="11"/>
      <c r="J4" s="13" t="s">
        <v>10</v>
      </c>
      <c r="K4" s="13" t="s">
        <v>11</v>
      </c>
      <c r="L4" s="11"/>
      <c r="M4" s="13" t="s">
        <v>10</v>
      </c>
      <c r="N4" s="13" t="s">
        <v>11</v>
      </c>
      <c r="O4" s="23"/>
      <c r="P4" s="13" t="s">
        <v>10</v>
      </c>
      <c r="Q4" s="13" t="s">
        <v>11</v>
      </c>
      <c r="R4" s="23"/>
      <c r="S4" s="13" t="s">
        <v>10</v>
      </c>
      <c r="T4" s="13" t="s">
        <v>11</v>
      </c>
      <c r="U4" s="11"/>
      <c r="V4" s="13" t="s">
        <v>10</v>
      </c>
      <c r="W4" s="13" t="s">
        <v>11</v>
      </c>
      <c r="X4" s="11"/>
      <c r="Y4" s="13" t="s">
        <v>10</v>
      </c>
      <c r="Z4" s="13" t="s">
        <v>11</v>
      </c>
      <c r="AA4" s="11"/>
      <c r="AB4" s="13" t="s">
        <v>10</v>
      </c>
      <c r="AC4" s="13" t="s">
        <v>11</v>
      </c>
      <c r="AD4" s="11"/>
      <c r="AE4" s="29" t="s">
        <v>10</v>
      </c>
      <c r="AF4" s="42" t="s">
        <v>11</v>
      </c>
    </row>
    <row r="5" s="33" customFormat="1" ht="29" customHeight="1" spans="1:32">
      <c r="A5" s="14">
        <v>201</v>
      </c>
      <c r="B5" s="15" t="s">
        <v>161</v>
      </c>
      <c r="C5" s="37">
        <f>D5+E5</f>
        <v>70795.7300000001</v>
      </c>
      <c r="D5" s="16">
        <v>57278.7300000001</v>
      </c>
      <c r="E5" s="37">
        <v>13517</v>
      </c>
      <c r="F5" s="37">
        <f t="shared" ref="F5:F18" si="0">G5+H5</f>
        <v>0</v>
      </c>
      <c r="G5" s="16"/>
      <c r="H5" s="16"/>
      <c r="I5" s="37">
        <f t="shared" ref="I5:I18" si="1">J5+K5</f>
        <v>0</v>
      </c>
      <c r="J5" s="16"/>
      <c r="K5" s="16"/>
      <c r="L5" s="37">
        <f t="shared" ref="L5:L18" si="2">M5+N5</f>
        <v>0</v>
      </c>
      <c r="M5" s="16"/>
      <c r="N5" s="16"/>
      <c r="O5" s="37">
        <f t="shared" ref="O5:O18" si="3">P5+Q5</f>
        <v>0</v>
      </c>
      <c r="P5" s="16"/>
      <c r="Q5" s="16"/>
      <c r="R5" s="37">
        <f t="shared" ref="R5:R18" si="4">S5+T5</f>
        <v>0</v>
      </c>
      <c r="S5" s="16"/>
      <c r="T5" s="16"/>
      <c r="U5" s="37">
        <f t="shared" ref="U5:U18" si="5">V5+W5</f>
        <v>0</v>
      </c>
      <c r="V5" s="16"/>
      <c r="W5" s="16"/>
      <c r="X5" s="37">
        <f t="shared" ref="X5:X18" si="6">Y5+Z5</f>
        <v>0</v>
      </c>
      <c r="Y5" s="16"/>
      <c r="Z5" s="16"/>
      <c r="AA5" s="37">
        <f>AB5+AC5</f>
        <v>1714</v>
      </c>
      <c r="AB5" s="16"/>
      <c r="AC5" s="37">
        <v>1714</v>
      </c>
      <c r="AD5" s="37">
        <f>AE5+AF5</f>
        <v>72509.7300000001</v>
      </c>
      <c r="AE5" s="43">
        <f t="shared" ref="AE5:AE18" si="7">D5+G5+J5+M5+P5+S5+V5+Y5+AB5</f>
        <v>57278.7300000001</v>
      </c>
      <c r="AF5" s="43">
        <f t="shared" ref="AF5:AF29" si="8">E5+H5+K5+N5+Q5+T5+W5+Z5+AC5</f>
        <v>15231</v>
      </c>
    </row>
    <row r="6" s="33" customFormat="1" ht="29" customHeight="1" spans="1:32">
      <c r="A6" s="14">
        <v>203</v>
      </c>
      <c r="B6" s="15" t="s">
        <v>162</v>
      </c>
      <c r="C6" s="37">
        <f t="shared" ref="C6:C29" si="9">D6+E6</f>
        <v>935.35</v>
      </c>
      <c r="D6" s="16">
        <v>935.35</v>
      </c>
      <c r="E6" s="37"/>
      <c r="F6" s="37">
        <f t="shared" si="0"/>
        <v>0</v>
      </c>
      <c r="G6" s="16"/>
      <c r="H6" s="16"/>
      <c r="I6" s="37">
        <f t="shared" si="1"/>
        <v>0</v>
      </c>
      <c r="J6" s="16"/>
      <c r="K6" s="16"/>
      <c r="L6" s="37">
        <f t="shared" si="2"/>
        <v>0</v>
      </c>
      <c r="M6" s="16"/>
      <c r="N6" s="16"/>
      <c r="O6" s="37">
        <f t="shared" si="3"/>
        <v>0</v>
      </c>
      <c r="P6" s="16"/>
      <c r="Q6" s="16"/>
      <c r="R6" s="37">
        <f t="shared" si="4"/>
        <v>0</v>
      </c>
      <c r="S6" s="16"/>
      <c r="T6" s="16"/>
      <c r="U6" s="37">
        <f t="shared" si="5"/>
        <v>0</v>
      </c>
      <c r="V6" s="16"/>
      <c r="W6" s="16"/>
      <c r="X6" s="37">
        <f t="shared" si="6"/>
        <v>0</v>
      </c>
      <c r="Y6" s="16"/>
      <c r="Z6" s="16"/>
      <c r="AA6" s="37">
        <f t="shared" ref="AA6:AA29" si="10">AB6+AC6</f>
        <v>-500</v>
      </c>
      <c r="AB6" s="16">
        <v>-500</v>
      </c>
      <c r="AC6" s="37"/>
      <c r="AD6" s="37">
        <f t="shared" ref="AD6:AD29" si="11">AE6+AF6</f>
        <v>435.35</v>
      </c>
      <c r="AE6" s="43">
        <f t="shared" si="7"/>
        <v>435.35</v>
      </c>
      <c r="AF6" s="43">
        <f t="shared" si="8"/>
        <v>0</v>
      </c>
    </row>
    <row r="7" s="33" customFormat="1" ht="29" customHeight="1" spans="1:32">
      <c r="A7" s="14">
        <v>204</v>
      </c>
      <c r="B7" s="15" t="s">
        <v>163</v>
      </c>
      <c r="C7" s="37">
        <f t="shared" si="9"/>
        <v>33485.79</v>
      </c>
      <c r="D7" s="16">
        <v>27898.79</v>
      </c>
      <c r="E7" s="37">
        <v>5587</v>
      </c>
      <c r="F7" s="37">
        <f t="shared" si="0"/>
        <v>-373</v>
      </c>
      <c r="G7" s="16">
        <v>-373</v>
      </c>
      <c r="H7" s="16"/>
      <c r="I7" s="37">
        <f t="shared" si="1"/>
        <v>0</v>
      </c>
      <c r="J7" s="16"/>
      <c r="K7" s="16"/>
      <c r="L7" s="37">
        <f t="shared" si="2"/>
        <v>0</v>
      </c>
      <c r="M7" s="16"/>
      <c r="N7" s="16"/>
      <c r="O7" s="37">
        <f t="shared" si="3"/>
        <v>0</v>
      </c>
      <c r="P7" s="16"/>
      <c r="Q7" s="16"/>
      <c r="R7" s="37">
        <f t="shared" si="4"/>
        <v>0</v>
      </c>
      <c r="S7" s="16"/>
      <c r="T7" s="16"/>
      <c r="U7" s="37">
        <f t="shared" si="5"/>
        <v>0</v>
      </c>
      <c r="V7" s="16"/>
      <c r="W7" s="16"/>
      <c r="X7" s="37">
        <f t="shared" si="6"/>
        <v>0</v>
      </c>
      <c r="Y7" s="16"/>
      <c r="Z7" s="16"/>
      <c r="AA7" s="37">
        <f t="shared" si="10"/>
        <v>294</v>
      </c>
      <c r="AB7" s="16"/>
      <c r="AC7" s="37">
        <v>294</v>
      </c>
      <c r="AD7" s="37">
        <f t="shared" si="11"/>
        <v>33406.79</v>
      </c>
      <c r="AE7" s="43">
        <f t="shared" si="7"/>
        <v>27525.79</v>
      </c>
      <c r="AF7" s="43">
        <f t="shared" si="8"/>
        <v>5881</v>
      </c>
    </row>
    <row r="8" s="33" customFormat="1" ht="29" customHeight="1" spans="1:32">
      <c r="A8" s="14">
        <v>205</v>
      </c>
      <c r="B8" s="15" t="s">
        <v>164</v>
      </c>
      <c r="C8" s="37">
        <f t="shared" si="9"/>
        <v>212080.91</v>
      </c>
      <c r="D8" s="16">
        <v>145350.91</v>
      </c>
      <c r="E8" s="37">
        <v>66730</v>
      </c>
      <c r="F8" s="37">
        <f t="shared" si="0"/>
        <v>288</v>
      </c>
      <c r="G8" s="16">
        <v>288</v>
      </c>
      <c r="H8" s="16"/>
      <c r="I8" s="37">
        <f t="shared" si="1"/>
        <v>0</v>
      </c>
      <c r="J8" s="16"/>
      <c r="K8" s="16"/>
      <c r="L8" s="37">
        <f t="shared" si="2"/>
        <v>0</v>
      </c>
      <c r="M8" s="16"/>
      <c r="N8" s="16"/>
      <c r="O8" s="37">
        <f t="shared" si="3"/>
        <v>0</v>
      </c>
      <c r="P8" s="16"/>
      <c r="Q8" s="16"/>
      <c r="R8" s="37">
        <f t="shared" si="4"/>
        <v>0</v>
      </c>
      <c r="S8" s="16"/>
      <c r="T8" s="16"/>
      <c r="U8" s="37">
        <f t="shared" si="5"/>
        <v>0</v>
      </c>
      <c r="V8" s="16"/>
      <c r="W8" s="16"/>
      <c r="X8" s="37">
        <f t="shared" si="6"/>
        <v>0</v>
      </c>
      <c r="Y8" s="16"/>
      <c r="Z8" s="16"/>
      <c r="AA8" s="37">
        <f t="shared" si="10"/>
        <v>924</v>
      </c>
      <c r="AB8" s="16"/>
      <c r="AC8" s="37">
        <v>924</v>
      </c>
      <c r="AD8" s="37">
        <f t="shared" si="11"/>
        <v>213292.91</v>
      </c>
      <c r="AE8" s="43">
        <f t="shared" si="7"/>
        <v>145638.91</v>
      </c>
      <c r="AF8" s="43">
        <f t="shared" si="8"/>
        <v>67654</v>
      </c>
    </row>
    <row r="9" s="33" customFormat="1" ht="29" customHeight="1" spans="1:32">
      <c r="A9" s="14">
        <v>206</v>
      </c>
      <c r="B9" s="15" t="s">
        <v>165</v>
      </c>
      <c r="C9" s="37">
        <f t="shared" si="9"/>
        <v>30959.81</v>
      </c>
      <c r="D9" s="16">
        <v>5214.81</v>
      </c>
      <c r="E9" s="37">
        <v>25745</v>
      </c>
      <c r="F9" s="37">
        <f t="shared" si="0"/>
        <v>0</v>
      </c>
      <c r="G9" s="16">
        <v>0</v>
      </c>
      <c r="H9" s="16"/>
      <c r="I9" s="37">
        <f t="shared" si="1"/>
        <v>0</v>
      </c>
      <c r="J9" s="16"/>
      <c r="K9" s="16"/>
      <c r="L9" s="37">
        <f t="shared" si="2"/>
        <v>0</v>
      </c>
      <c r="M9" s="16"/>
      <c r="N9" s="16"/>
      <c r="O9" s="37">
        <f t="shared" si="3"/>
        <v>0</v>
      </c>
      <c r="P9" s="16"/>
      <c r="Q9" s="16"/>
      <c r="R9" s="37">
        <f t="shared" si="4"/>
        <v>0</v>
      </c>
      <c r="S9" s="16"/>
      <c r="T9" s="16"/>
      <c r="U9" s="37">
        <f t="shared" si="5"/>
        <v>0</v>
      </c>
      <c r="V9" s="16"/>
      <c r="W9" s="16"/>
      <c r="X9" s="37">
        <f t="shared" si="6"/>
        <v>0</v>
      </c>
      <c r="Y9" s="16"/>
      <c r="Z9" s="16"/>
      <c r="AA9" s="37">
        <f t="shared" si="10"/>
        <v>-9529</v>
      </c>
      <c r="AB9" s="16">
        <v>-2500</v>
      </c>
      <c r="AC9" s="37">
        <v>-7029</v>
      </c>
      <c r="AD9" s="37">
        <f t="shared" si="11"/>
        <v>21430.81</v>
      </c>
      <c r="AE9" s="43">
        <f t="shared" si="7"/>
        <v>2714.81</v>
      </c>
      <c r="AF9" s="43">
        <f t="shared" si="8"/>
        <v>18716</v>
      </c>
    </row>
    <row r="10" s="33" customFormat="1" ht="34.5" customHeight="1" spans="1:32">
      <c r="A10" s="14">
        <v>207</v>
      </c>
      <c r="B10" s="15" t="s">
        <v>166</v>
      </c>
      <c r="C10" s="37">
        <f t="shared" si="9"/>
        <v>14457.07</v>
      </c>
      <c r="D10" s="16">
        <v>12200.07</v>
      </c>
      <c r="E10" s="37">
        <v>2257</v>
      </c>
      <c r="F10" s="37">
        <f t="shared" si="0"/>
        <v>55</v>
      </c>
      <c r="G10" s="16">
        <v>55</v>
      </c>
      <c r="H10" s="16"/>
      <c r="I10" s="37">
        <f t="shared" si="1"/>
        <v>0</v>
      </c>
      <c r="J10" s="16"/>
      <c r="K10" s="16"/>
      <c r="L10" s="37">
        <f t="shared" si="2"/>
        <v>0</v>
      </c>
      <c r="M10" s="16"/>
      <c r="N10" s="16"/>
      <c r="O10" s="37">
        <f t="shared" si="3"/>
        <v>0</v>
      </c>
      <c r="P10" s="16"/>
      <c r="Q10" s="16"/>
      <c r="R10" s="37">
        <f t="shared" si="4"/>
        <v>0</v>
      </c>
      <c r="S10" s="16"/>
      <c r="T10" s="16"/>
      <c r="U10" s="37">
        <f t="shared" si="5"/>
        <v>0</v>
      </c>
      <c r="V10" s="16"/>
      <c r="W10" s="16"/>
      <c r="X10" s="37">
        <f t="shared" si="6"/>
        <v>0</v>
      </c>
      <c r="Y10" s="16"/>
      <c r="Z10" s="16"/>
      <c r="AA10" s="37">
        <f t="shared" si="10"/>
        <v>-4203</v>
      </c>
      <c r="AB10" s="16">
        <v>-4000</v>
      </c>
      <c r="AC10" s="37">
        <v>-203</v>
      </c>
      <c r="AD10" s="37">
        <f t="shared" si="11"/>
        <v>10309.07</v>
      </c>
      <c r="AE10" s="43">
        <f t="shared" si="7"/>
        <v>8255.07</v>
      </c>
      <c r="AF10" s="43">
        <f t="shared" si="8"/>
        <v>2054</v>
      </c>
    </row>
    <row r="11" s="33" customFormat="1" ht="34.5" customHeight="1" spans="1:32">
      <c r="A11" s="14">
        <v>208</v>
      </c>
      <c r="B11" s="15" t="s">
        <v>167</v>
      </c>
      <c r="C11" s="37">
        <f t="shared" si="9"/>
        <v>100743.66</v>
      </c>
      <c r="D11" s="16">
        <v>82765.6600000001</v>
      </c>
      <c r="E11" s="37">
        <v>17978</v>
      </c>
      <c r="F11" s="37">
        <f t="shared" si="0"/>
        <v>4078</v>
      </c>
      <c r="G11" s="16">
        <f>4078</f>
        <v>4078</v>
      </c>
      <c r="H11" s="16"/>
      <c r="I11" s="37">
        <f t="shared" si="1"/>
        <v>0</v>
      </c>
      <c r="J11" s="16"/>
      <c r="K11" s="16"/>
      <c r="L11" s="37">
        <f t="shared" si="2"/>
        <v>0</v>
      </c>
      <c r="M11" s="16"/>
      <c r="N11" s="16"/>
      <c r="O11" s="37">
        <f t="shared" si="3"/>
        <v>0</v>
      </c>
      <c r="P11" s="16"/>
      <c r="Q11" s="16"/>
      <c r="R11" s="37">
        <f t="shared" si="4"/>
        <v>0</v>
      </c>
      <c r="S11" s="16"/>
      <c r="T11" s="16"/>
      <c r="U11" s="37">
        <f t="shared" si="5"/>
        <v>0</v>
      </c>
      <c r="V11" s="16"/>
      <c r="W11" s="16"/>
      <c r="X11" s="37">
        <f t="shared" si="6"/>
        <v>0</v>
      </c>
      <c r="Y11" s="16"/>
      <c r="Z11" s="16"/>
      <c r="AA11" s="37">
        <f t="shared" si="10"/>
        <v>-15832</v>
      </c>
      <c r="AB11" s="16">
        <v>-16000</v>
      </c>
      <c r="AC11" s="37">
        <v>168</v>
      </c>
      <c r="AD11" s="37">
        <f t="shared" si="11"/>
        <v>88989.6600000001</v>
      </c>
      <c r="AE11" s="43">
        <f t="shared" si="7"/>
        <v>70843.6600000001</v>
      </c>
      <c r="AF11" s="43">
        <f t="shared" si="8"/>
        <v>18146</v>
      </c>
    </row>
    <row r="12" s="33" customFormat="1" ht="34.5" customHeight="1" spans="1:32">
      <c r="A12" s="14">
        <v>210</v>
      </c>
      <c r="B12" s="15" t="s">
        <v>168</v>
      </c>
      <c r="C12" s="37">
        <f t="shared" si="9"/>
        <v>79776.75</v>
      </c>
      <c r="D12" s="16">
        <v>74165.75</v>
      </c>
      <c r="E12" s="37">
        <v>5611</v>
      </c>
      <c r="F12" s="37">
        <f t="shared" si="0"/>
        <v>4756</v>
      </c>
      <c r="G12" s="16">
        <v>4756</v>
      </c>
      <c r="H12" s="16"/>
      <c r="I12" s="37">
        <f t="shared" si="1"/>
        <v>711</v>
      </c>
      <c r="J12" s="16"/>
      <c r="K12" s="16">
        <v>711</v>
      </c>
      <c r="L12" s="37">
        <f t="shared" si="2"/>
        <v>0</v>
      </c>
      <c r="M12" s="16"/>
      <c r="N12" s="16"/>
      <c r="O12" s="37">
        <f t="shared" si="3"/>
        <v>0</v>
      </c>
      <c r="P12" s="16"/>
      <c r="Q12" s="16"/>
      <c r="R12" s="37">
        <f t="shared" si="4"/>
        <v>0</v>
      </c>
      <c r="S12" s="16"/>
      <c r="T12" s="16"/>
      <c r="U12" s="37">
        <f t="shared" si="5"/>
        <v>0</v>
      </c>
      <c r="V12" s="16"/>
      <c r="W12" s="16"/>
      <c r="X12" s="37">
        <f t="shared" si="6"/>
        <v>42</v>
      </c>
      <c r="Y12" s="16">
        <v>42</v>
      </c>
      <c r="Z12" s="16"/>
      <c r="AA12" s="37">
        <f t="shared" si="10"/>
        <v>-22285</v>
      </c>
      <c r="AB12" s="16">
        <v>-25000</v>
      </c>
      <c r="AC12" s="37">
        <v>2715</v>
      </c>
      <c r="AD12" s="37">
        <f t="shared" si="11"/>
        <v>63000.75</v>
      </c>
      <c r="AE12" s="43">
        <f t="shared" si="7"/>
        <v>53963.75</v>
      </c>
      <c r="AF12" s="43">
        <f t="shared" si="8"/>
        <v>9037</v>
      </c>
    </row>
    <row r="13" s="33" customFormat="1" ht="29" customHeight="1" spans="1:32">
      <c r="A13" s="14">
        <v>211</v>
      </c>
      <c r="B13" s="15" t="s">
        <v>169</v>
      </c>
      <c r="C13" s="37">
        <f t="shared" si="9"/>
        <v>18131</v>
      </c>
      <c r="D13" s="16">
        <v>15281</v>
      </c>
      <c r="E13" s="37">
        <v>2850</v>
      </c>
      <c r="F13" s="37">
        <f t="shared" si="0"/>
        <v>200</v>
      </c>
      <c r="G13" s="16">
        <v>200</v>
      </c>
      <c r="H13" s="16"/>
      <c r="I13" s="37">
        <f t="shared" si="1"/>
        <v>0</v>
      </c>
      <c r="J13" s="16"/>
      <c r="K13" s="16"/>
      <c r="L13" s="37">
        <f t="shared" si="2"/>
        <v>0</v>
      </c>
      <c r="M13" s="16"/>
      <c r="N13" s="16"/>
      <c r="O13" s="37">
        <f t="shared" si="3"/>
        <v>0</v>
      </c>
      <c r="P13" s="16"/>
      <c r="Q13" s="16"/>
      <c r="R13" s="37">
        <f t="shared" si="4"/>
        <v>0</v>
      </c>
      <c r="S13" s="16"/>
      <c r="T13" s="16"/>
      <c r="U13" s="37">
        <f t="shared" si="5"/>
        <v>0</v>
      </c>
      <c r="V13" s="16"/>
      <c r="W13" s="16"/>
      <c r="X13" s="37">
        <f t="shared" si="6"/>
        <v>0</v>
      </c>
      <c r="Y13" s="16"/>
      <c r="Z13" s="16"/>
      <c r="AA13" s="37">
        <f t="shared" si="10"/>
        <v>15973</v>
      </c>
      <c r="AB13" s="16">
        <f>22400-7000</f>
        <v>15400</v>
      </c>
      <c r="AC13" s="37">
        <v>573</v>
      </c>
      <c r="AD13" s="37">
        <f t="shared" si="11"/>
        <v>34304</v>
      </c>
      <c r="AE13" s="43">
        <f t="shared" si="7"/>
        <v>30881</v>
      </c>
      <c r="AF13" s="43">
        <f t="shared" si="8"/>
        <v>3423</v>
      </c>
    </row>
    <row r="14" s="33" customFormat="1" ht="29" customHeight="1" spans="1:32">
      <c r="A14" s="14">
        <v>212</v>
      </c>
      <c r="B14" s="15" t="s">
        <v>170</v>
      </c>
      <c r="C14" s="37">
        <f t="shared" si="9"/>
        <v>63765.14</v>
      </c>
      <c r="D14" s="16">
        <v>26385.14</v>
      </c>
      <c r="E14" s="37">
        <v>37380</v>
      </c>
      <c r="F14" s="37">
        <f t="shared" si="0"/>
        <v>0</v>
      </c>
      <c r="G14" s="16"/>
      <c r="H14" s="16"/>
      <c r="I14" s="37">
        <f t="shared" si="1"/>
        <v>0</v>
      </c>
      <c r="J14" s="16"/>
      <c r="K14" s="16"/>
      <c r="L14" s="37">
        <f t="shared" si="2"/>
        <v>9508</v>
      </c>
      <c r="M14" s="16">
        <v>173</v>
      </c>
      <c r="N14" s="16">
        <v>9335</v>
      </c>
      <c r="O14" s="37">
        <f t="shared" si="3"/>
        <v>0</v>
      </c>
      <c r="P14" s="16"/>
      <c r="Q14" s="16"/>
      <c r="R14" s="37">
        <f t="shared" si="4"/>
        <v>0</v>
      </c>
      <c r="S14" s="16"/>
      <c r="T14" s="16"/>
      <c r="U14" s="37">
        <f t="shared" si="5"/>
        <v>40986</v>
      </c>
      <c r="V14" s="16">
        <f>61656-20670</f>
        <v>40986</v>
      </c>
      <c r="W14" s="16"/>
      <c r="X14" s="37">
        <f t="shared" si="6"/>
        <v>0</v>
      </c>
      <c r="Y14" s="16"/>
      <c r="Z14" s="16"/>
      <c r="AA14" s="37">
        <f t="shared" si="10"/>
        <v>128741</v>
      </c>
      <c r="AB14" s="16">
        <f>136050-3248+41-22400+15670+465+515</f>
        <v>127093</v>
      </c>
      <c r="AC14" s="37">
        <v>1648</v>
      </c>
      <c r="AD14" s="37">
        <f t="shared" si="11"/>
        <v>243000.14</v>
      </c>
      <c r="AE14" s="43">
        <f t="shared" si="7"/>
        <v>194637.14</v>
      </c>
      <c r="AF14" s="43">
        <f t="shared" si="8"/>
        <v>48363</v>
      </c>
    </row>
    <row r="15" s="33" customFormat="1" ht="29" customHeight="1" spans="1:32">
      <c r="A15" s="14">
        <v>213</v>
      </c>
      <c r="B15" s="15" t="s">
        <v>171</v>
      </c>
      <c r="C15" s="37">
        <f t="shared" si="9"/>
        <v>46328.83</v>
      </c>
      <c r="D15" s="16">
        <v>42808.83</v>
      </c>
      <c r="E15" s="37">
        <v>3520</v>
      </c>
      <c r="F15" s="37">
        <f t="shared" si="0"/>
        <v>4984</v>
      </c>
      <c r="G15" s="16">
        <v>4984</v>
      </c>
      <c r="H15" s="16"/>
      <c r="I15" s="37">
        <f t="shared" si="1"/>
        <v>0</v>
      </c>
      <c r="J15" s="16"/>
      <c r="K15" s="16"/>
      <c r="L15" s="37">
        <f t="shared" si="2"/>
        <v>0</v>
      </c>
      <c r="M15" s="16"/>
      <c r="N15" s="16"/>
      <c r="O15" s="37">
        <f t="shared" si="3"/>
        <v>0</v>
      </c>
      <c r="P15" s="16"/>
      <c r="Q15" s="16"/>
      <c r="R15" s="37">
        <f t="shared" si="4"/>
        <v>0</v>
      </c>
      <c r="S15" s="16"/>
      <c r="T15" s="16"/>
      <c r="U15" s="37">
        <f t="shared" si="5"/>
        <v>0</v>
      </c>
      <c r="V15" s="16"/>
      <c r="W15" s="16"/>
      <c r="X15" s="37">
        <f t="shared" si="6"/>
        <v>0</v>
      </c>
      <c r="Y15" s="16"/>
      <c r="Z15" s="16"/>
      <c r="AA15" s="37">
        <f t="shared" si="10"/>
        <v>-15546</v>
      </c>
      <c r="AB15" s="16">
        <v>-15000</v>
      </c>
      <c r="AC15" s="37">
        <v>-546</v>
      </c>
      <c r="AD15" s="37">
        <f t="shared" si="11"/>
        <v>35766.83</v>
      </c>
      <c r="AE15" s="43">
        <f t="shared" si="7"/>
        <v>32792.83</v>
      </c>
      <c r="AF15" s="43">
        <f t="shared" si="8"/>
        <v>2974</v>
      </c>
    </row>
    <row r="16" s="33" customFormat="1" ht="29" customHeight="1" spans="1:32">
      <c r="A16" s="14">
        <v>214</v>
      </c>
      <c r="B16" s="15" t="s">
        <v>172</v>
      </c>
      <c r="C16" s="37">
        <f t="shared" si="9"/>
        <v>2852.12</v>
      </c>
      <c r="D16" s="16">
        <v>1426.12</v>
      </c>
      <c r="E16" s="37">
        <v>1426</v>
      </c>
      <c r="F16" s="37">
        <f t="shared" si="0"/>
        <v>-288</v>
      </c>
      <c r="G16" s="16">
        <v>-288</v>
      </c>
      <c r="H16" s="16"/>
      <c r="I16" s="37">
        <f t="shared" si="1"/>
        <v>0</v>
      </c>
      <c r="J16" s="16"/>
      <c r="K16" s="16"/>
      <c r="L16" s="37">
        <f t="shared" si="2"/>
        <v>0</v>
      </c>
      <c r="M16" s="16"/>
      <c r="N16" s="16"/>
      <c r="O16" s="37">
        <f t="shared" si="3"/>
        <v>0</v>
      </c>
      <c r="P16" s="16"/>
      <c r="Q16" s="16"/>
      <c r="R16" s="37">
        <f t="shared" si="4"/>
        <v>0</v>
      </c>
      <c r="S16" s="16"/>
      <c r="T16" s="16"/>
      <c r="U16" s="37">
        <f t="shared" si="5"/>
        <v>0</v>
      </c>
      <c r="V16" s="16"/>
      <c r="W16" s="16"/>
      <c r="X16" s="37">
        <f t="shared" si="6"/>
        <v>0</v>
      </c>
      <c r="Y16" s="16"/>
      <c r="Z16" s="16"/>
      <c r="AA16" s="37">
        <f t="shared" si="10"/>
        <v>1333</v>
      </c>
      <c r="AB16" s="16">
        <v>500</v>
      </c>
      <c r="AC16" s="37">
        <v>833</v>
      </c>
      <c r="AD16" s="37">
        <f t="shared" si="11"/>
        <v>3897.12</v>
      </c>
      <c r="AE16" s="43">
        <f t="shared" si="7"/>
        <v>1638.12</v>
      </c>
      <c r="AF16" s="43">
        <f t="shared" si="8"/>
        <v>2259</v>
      </c>
    </row>
    <row r="17" s="33" customFormat="1" ht="34.5" customHeight="1" spans="1:32">
      <c r="A17" s="14">
        <v>215</v>
      </c>
      <c r="B17" s="15" t="s">
        <v>173</v>
      </c>
      <c r="C17" s="37">
        <f t="shared" si="9"/>
        <v>15869.13</v>
      </c>
      <c r="D17" s="16">
        <v>1603.13</v>
      </c>
      <c r="E17" s="37">
        <v>14266</v>
      </c>
      <c r="F17" s="37">
        <f t="shared" si="0"/>
        <v>0</v>
      </c>
      <c r="G17" s="16"/>
      <c r="H17" s="16"/>
      <c r="I17" s="37">
        <f t="shared" si="1"/>
        <v>0</v>
      </c>
      <c r="J17" s="16"/>
      <c r="K17" s="16"/>
      <c r="L17" s="37">
        <f t="shared" si="2"/>
        <v>0</v>
      </c>
      <c r="M17" s="16"/>
      <c r="N17" s="16"/>
      <c r="O17" s="37">
        <f t="shared" si="3"/>
        <v>0</v>
      </c>
      <c r="P17" s="16"/>
      <c r="Q17" s="16"/>
      <c r="R17" s="37">
        <f t="shared" si="4"/>
        <v>0</v>
      </c>
      <c r="S17" s="16"/>
      <c r="T17" s="16"/>
      <c r="U17" s="37">
        <f t="shared" si="5"/>
        <v>0</v>
      </c>
      <c r="V17" s="16"/>
      <c r="W17" s="16"/>
      <c r="X17" s="37">
        <f t="shared" si="6"/>
        <v>0</v>
      </c>
      <c r="Y17" s="16"/>
      <c r="Z17" s="16"/>
      <c r="AA17" s="37">
        <f t="shared" si="10"/>
        <v>-10204</v>
      </c>
      <c r="AB17" s="16">
        <v>-600</v>
      </c>
      <c r="AC17" s="37">
        <v>-9604</v>
      </c>
      <c r="AD17" s="37">
        <f t="shared" si="11"/>
        <v>5665.13</v>
      </c>
      <c r="AE17" s="43">
        <f t="shared" ref="AE17:AE29" si="12">D17+G17+J17+M17+P17+S17+V17+Y17+AB17</f>
        <v>1003.13</v>
      </c>
      <c r="AF17" s="43">
        <f t="shared" si="8"/>
        <v>4662</v>
      </c>
    </row>
    <row r="18" s="33" customFormat="1" ht="27" customHeight="1" spans="1:32">
      <c r="A18" s="14">
        <v>216</v>
      </c>
      <c r="B18" s="15" t="s">
        <v>174</v>
      </c>
      <c r="C18" s="37">
        <f t="shared" si="9"/>
        <v>5408.37</v>
      </c>
      <c r="D18" s="16">
        <v>5408.37</v>
      </c>
      <c r="E18" s="37"/>
      <c r="F18" s="37">
        <f t="shared" si="0"/>
        <v>0</v>
      </c>
      <c r="G18" s="16"/>
      <c r="H18" s="16"/>
      <c r="I18" s="37">
        <f t="shared" si="1"/>
        <v>0</v>
      </c>
      <c r="J18" s="16"/>
      <c r="K18" s="16"/>
      <c r="L18" s="37">
        <f t="shared" si="2"/>
        <v>0</v>
      </c>
      <c r="M18" s="16"/>
      <c r="N18" s="16"/>
      <c r="O18" s="37">
        <f t="shared" si="3"/>
        <v>0</v>
      </c>
      <c r="P18" s="16"/>
      <c r="Q18" s="16"/>
      <c r="R18" s="37">
        <f t="shared" si="4"/>
        <v>0</v>
      </c>
      <c r="S18" s="16"/>
      <c r="T18" s="16"/>
      <c r="U18" s="37">
        <f t="shared" si="5"/>
        <v>0</v>
      </c>
      <c r="V18" s="16"/>
      <c r="W18" s="16"/>
      <c r="X18" s="37">
        <f t="shared" si="6"/>
        <v>0</v>
      </c>
      <c r="Y18" s="16"/>
      <c r="Z18" s="16"/>
      <c r="AA18" s="37">
        <f t="shared" si="10"/>
        <v>55500</v>
      </c>
      <c r="AB18" s="16">
        <v>55500</v>
      </c>
      <c r="AC18" s="37"/>
      <c r="AD18" s="37">
        <f t="shared" si="11"/>
        <v>60908.37</v>
      </c>
      <c r="AE18" s="43">
        <f t="shared" si="12"/>
        <v>60908.37</v>
      </c>
      <c r="AF18" s="43">
        <f t="shared" si="8"/>
        <v>0</v>
      </c>
    </row>
    <row r="19" s="33" customFormat="1" ht="27" customHeight="1" spans="1:32">
      <c r="A19" s="14">
        <v>217</v>
      </c>
      <c r="B19" s="15" t="s">
        <v>175</v>
      </c>
      <c r="C19" s="37">
        <f t="shared" si="9"/>
        <v>2000</v>
      </c>
      <c r="D19" s="16"/>
      <c r="E19" s="37">
        <v>2000</v>
      </c>
      <c r="F19" s="37">
        <v>0</v>
      </c>
      <c r="G19" s="16"/>
      <c r="H19" s="16"/>
      <c r="I19" s="37">
        <v>0</v>
      </c>
      <c r="J19" s="16"/>
      <c r="K19" s="16"/>
      <c r="L19" s="37">
        <v>0</v>
      </c>
      <c r="M19" s="16"/>
      <c r="N19" s="16"/>
      <c r="O19" s="37">
        <v>0</v>
      </c>
      <c r="P19" s="16"/>
      <c r="Q19" s="16"/>
      <c r="R19" s="37">
        <v>0</v>
      </c>
      <c r="S19" s="16"/>
      <c r="T19" s="16"/>
      <c r="U19" s="37">
        <v>0</v>
      </c>
      <c r="V19" s="16"/>
      <c r="W19" s="16"/>
      <c r="X19" s="37">
        <v>0</v>
      </c>
      <c r="Y19" s="16"/>
      <c r="Z19" s="16"/>
      <c r="AA19" s="37">
        <f t="shared" si="10"/>
        <v>7893</v>
      </c>
      <c r="AB19" s="16">
        <v>250</v>
      </c>
      <c r="AC19" s="37">
        <v>7643</v>
      </c>
      <c r="AD19" s="37">
        <f t="shared" si="11"/>
        <v>9893</v>
      </c>
      <c r="AE19" s="43">
        <f t="shared" si="12"/>
        <v>250</v>
      </c>
      <c r="AF19" s="43">
        <f t="shared" si="8"/>
        <v>9643</v>
      </c>
    </row>
    <row r="20" s="33" customFormat="1" ht="27" customHeight="1" spans="1:32">
      <c r="A20" s="14">
        <v>219</v>
      </c>
      <c r="B20" s="15" t="s">
        <v>176</v>
      </c>
      <c r="C20" s="37">
        <f t="shared" si="9"/>
        <v>0</v>
      </c>
      <c r="D20" s="16"/>
      <c r="E20" s="37"/>
      <c r="F20" s="37">
        <f t="shared" ref="F20:F29" si="13">G20+H20</f>
        <v>0</v>
      </c>
      <c r="G20" s="16"/>
      <c r="H20" s="16"/>
      <c r="I20" s="37">
        <f t="shared" ref="I20:I29" si="14">J20+K20</f>
        <v>0</v>
      </c>
      <c r="J20" s="16"/>
      <c r="K20" s="16"/>
      <c r="L20" s="37">
        <f t="shared" ref="L20:L29" si="15">M20+N20</f>
        <v>0</v>
      </c>
      <c r="M20" s="16"/>
      <c r="N20" s="16"/>
      <c r="O20" s="37">
        <f t="shared" ref="O20:O29" si="16">P20+Q20</f>
        <v>0</v>
      </c>
      <c r="P20" s="16"/>
      <c r="Q20" s="16"/>
      <c r="R20" s="37">
        <f t="shared" ref="R20:R29" si="17">S20+T20</f>
        <v>0</v>
      </c>
      <c r="S20" s="16"/>
      <c r="T20" s="16"/>
      <c r="U20" s="37">
        <f t="shared" ref="U20:U29" si="18">V20+W20</f>
        <v>0</v>
      </c>
      <c r="V20" s="16"/>
      <c r="W20" s="16"/>
      <c r="X20" s="37">
        <f t="shared" ref="X20:X29" si="19">Y20+Z20</f>
        <v>0</v>
      </c>
      <c r="Y20" s="16"/>
      <c r="Z20" s="16"/>
      <c r="AA20" s="37">
        <f t="shared" si="10"/>
        <v>0</v>
      </c>
      <c r="AB20" s="16"/>
      <c r="AC20" s="37"/>
      <c r="AD20" s="37">
        <f t="shared" si="11"/>
        <v>0</v>
      </c>
      <c r="AE20" s="43">
        <f t="shared" si="12"/>
        <v>0</v>
      </c>
      <c r="AF20" s="43">
        <f t="shared" si="8"/>
        <v>0</v>
      </c>
    </row>
    <row r="21" s="33" customFormat="1" ht="34.5" customHeight="1" spans="1:32">
      <c r="A21" s="14">
        <v>220</v>
      </c>
      <c r="B21" s="15" t="s">
        <v>177</v>
      </c>
      <c r="C21" s="37">
        <f t="shared" si="9"/>
        <v>11371.57</v>
      </c>
      <c r="D21" s="16">
        <v>7730.57</v>
      </c>
      <c r="E21" s="37">
        <v>3641</v>
      </c>
      <c r="F21" s="37">
        <f t="shared" si="13"/>
        <v>196</v>
      </c>
      <c r="G21" s="16">
        <v>196</v>
      </c>
      <c r="H21" s="16"/>
      <c r="I21" s="37">
        <f t="shared" si="14"/>
        <v>0</v>
      </c>
      <c r="J21" s="16"/>
      <c r="K21" s="16"/>
      <c r="L21" s="37">
        <f t="shared" si="15"/>
        <v>0</v>
      </c>
      <c r="M21" s="16"/>
      <c r="N21" s="16"/>
      <c r="O21" s="37">
        <f t="shared" si="16"/>
        <v>0</v>
      </c>
      <c r="P21" s="16"/>
      <c r="Q21" s="16"/>
      <c r="R21" s="37">
        <f t="shared" si="17"/>
        <v>0</v>
      </c>
      <c r="S21" s="16"/>
      <c r="T21" s="16"/>
      <c r="U21" s="37">
        <f t="shared" si="18"/>
        <v>0</v>
      </c>
      <c r="V21" s="16"/>
      <c r="W21" s="16"/>
      <c r="X21" s="37">
        <f t="shared" si="19"/>
        <v>0</v>
      </c>
      <c r="Y21" s="16"/>
      <c r="Z21" s="16"/>
      <c r="AA21" s="37">
        <f t="shared" si="10"/>
        <v>-1800</v>
      </c>
      <c r="AB21" s="16">
        <v>-1800</v>
      </c>
      <c r="AC21" s="37"/>
      <c r="AD21" s="37">
        <f t="shared" si="11"/>
        <v>9767.57</v>
      </c>
      <c r="AE21" s="43">
        <f t="shared" si="12"/>
        <v>6126.57</v>
      </c>
      <c r="AF21" s="43">
        <f t="shared" si="8"/>
        <v>3641</v>
      </c>
    </row>
    <row r="22" s="33" customFormat="1" ht="25" customHeight="1" spans="1:32">
      <c r="A22" s="14">
        <v>221</v>
      </c>
      <c r="B22" s="15" t="s">
        <v>178</v>
      </c>
      <c r="C22" s="37">
        <f t="shared" si="9"/>
        <v>9603.44</v>
      </c>
      <c r="D22" s="16">
        <v>7989.44</v>
      </c>
      <c r="E22" s="37">
        <v>1614</v>
      </c>
      <c r="F22" s="37">
        <f t="shared" si="13"/>
        <v>1281</v>
      </c>
      <c r="G22" s="16">
        <v>1281</v>
      </c>
      <c r="H22" s="16"/>
      <c r="I22" s="37">
        <f t="shared" si="14"/>
        <v>0</v>
      </c>
      <c r="J22" s="16"/>
      <c r="K22" s="16"/>
      <c r="L22" s="37">
        <f t="shared" si="15"/>
        <v>0</v>
      </c>
      <c r="M22" s="16"/>
      <c r="N22" s="16"/>
      <c r="O22" s="37">
        <f t="shared" si="16"/>
        <v>0</v>
      </c>
      <c r="P22" s="16"/>
      <c r="Q22" s="16"/>
      <c r="R22" s="37">
        <f t="shared" si="17"/>
        <v>0</v>
      </c>
      <c r="S22" s="16"/>
      <c r="T22" s="16"/>
      <c r="U22" s="37">
        <f t="shared" si="18"/>
        <v>0</v>
      </c>
      <c r="V22" s="16"/>
      <c r="W22" s="16"/>
      <c r="X22" s="37">
        <f t="shared" si="19"/>
        <v>0</v>
      </c>
      <c r="Y22" s="16"/>
      <c r="Z22" s="16"/>
      <c r="AA22" s="37">
        <f t="shared" si="10"/>
        <v>0</v>
      </c>
      <c r="AB22" s="16"/>
      <c r="AC22" s="37"/>
      <c r="AD22" s="37">
        <f t="shared" si="11"/>
        <v>10884.44</v>
      </c>
      <c r="AE22" s="43">
        <f t="shared" si="12"/>
        <v>9270.44</v>
      </c>
      <c r="AF22" s="43">
        <f t="shared" si="8"/>
        <v>1614</v>
      </c>
    </row>
    <row r="23" s="33" customFormat="1" ht="27" customHeight="1" spans="1:32">
      <c r="A23" s="14">
        <v>222</v>
      </c>
      <c r="B23" s="15" t="s">
        <v>179</v>
      </c>
      <c r="C23" s="37">
        <f t="shared" si="9"/>
        <v>3075</v>
      </c>
      <c r="D23" s="16">
        <v>3075</v>
      </c>
      <c r="E23" s="37"/>
      <c r="F23" s="37">
        <f t="shared" si="13"/>
        <v>0</v>
      </c>
      <c r="G23" s="16"/>
      <c r="H23" s="16"/>
      <c r="I23" s="37">
        <f t="shared" si="14"/>
        <v>0</v>
      </c>
      <c r="J23" s="16"/>
      <c r="K23" s="16"/>
      <c r="L23" s="37">
        <f t="shared" si="15"/>
        <v>0</v>
      </c>
      <c r="M23" s="16"/>
      <c r="N23" s="16"/>
      <c r="O23" s="37">
        <f t="shared" si="16"/>
        <v>0</v>
      </c>
      <c r="P23" s="16"/>
      <c r="Q23" s="16"/>
      <c r="R23" s="37">
        <f t="shared" si="17"/>
        <v>0</v>
      </c>
      <c r="S23" s="16"/>
      <c r="T23" s="16"/>
      <c r="U23" s="37">
        <f t="shared" si="18"/>
        <v>0</v>
      </c>
      <c r="V23" s="16"/>
      <c r="W23" s="16"/>
      <c r="X23" s="37">
        <f t="shared" si="19"/>
        <v>0</v>
      </c>
      <c r="Y23" s="16"/>
      <c r="Z23" s="16"/>
      <c r="AA23" s="37">
        <f t="shared" si="10"/>
        <v>-500</v>
      </c>
      <c r="AB23" s="16">
        <v>-500</v>
      </c>
      <c r="AC23" s="16"/>
      <c r="AD23" s="37">
        <f t="shared" si="11"/>
        <v>2575</v>
      </c>
      <c r="AE23" s="43">
        <f t="shared" si="12"/>
        <v>2575</v>
      </c>
      <c r="AF23" s="43">
        <f t="shared" si="8"/>
        <v>0</v>
      </c>
    </row>
    <row r="24" s="33" customFormat="1" ht="35.1" customHeight="1" spans="1:32">
      <c r="A24" s="14">
        <v>224</v>
      </c>
      <c r="B24" s="15" t="s">
        <v>180</v>
      </c>
      <c r="C24" s="37">
        <f t="shared" si="9"/>
        <v>5781.99</v>
      </c>
      <c r="D24" s="16">
        <v>5023.99</v>
      </c>
      <c r="E24" s="37">
        <v>758</v>
      </c>
      <c r="F24" s="37">
        <f t="shared" si="13"/>
        <v>0</v>
      </c>
      <c r="G24" s="16"/>
      <c r="H24" s="16"/>
      <c r="I24" s="37">
        <f t="shared" si="14"/>
        <v>0</v>
      </c>
      <c r="J24" s="16"/>
      <c r="K24" s="16"/>
      <c r="L24" s="37">
        <f t="shared" si="15"/>
        <v>0</v>
      </c>
      <c r="M24" s="16"/>
      <c r="N24" s="16"/>
      <c r="O24" s="37">
        <f t="shared" si="16"/>
        <v>0</v>
      </c>
      <c r="P24" s="16"/>
      <c r="Q24" s="16"/>
      <c r="R24" s="37">
        <f t="shared" si="17"/>
        <v>0</v>
      </c>
      <c r="S24" s="16"/>
      <c r="T24" s="16"/>
      <c r="U24" s="37">
        <f t="shared" si="18"/>
        <v>0</v>
      </c>
      <c r="V24" s="16"/>
      <c r="W24" s="16"/>
      <c r="X24" s="37">
        <f t="shared" si="19"/>
        <v>0</v>
      </c>
      <c r="Y24" s="16"/>
      <c r="Z24" s="16"/>
      <c r="AA24" s="37">
        <f t="shared" si="10"/>
        <v>148</v>
      </c>
      <c r="AB24" s="16">
        <v>-400</v>
      </c>
      <c r="AC24" s="16">
        <v>548</v>
      </c>
      <c r="AD24" s="37">
        <f t="shared" si="11"/>
        <v>5929.99</v>
      </c>
      <c r="AE24" s="43">
        <f t="shared" si="12"/>
        <v>4623.99</v>
      </c>
      <c r="AF24" s="43">
        <f t="shared" si="8"/>
        <v>1306</v>
      </c>
    </row>
    <row r="25" s="33" customFormat="1" ht="23" customHeight="1" spans="1:32">
      <c r="A25" s="14">
        <v>227</v>
      </c>
      <c r="B25" s="15" t="s">
        <v>181</v>
      </c>
      <c r="C25" s="37">
        <f t="shared" si="9"/>
        <v>18120</v>
      </c>
      <c r="D25" s="16">
        <v>15000</v>
      </c>
      <c r="E25" s="37">
        <v>3120</v>
      </c>
      <c r="F25" s="37">
        <f t="shared" si="13"/>
        <v>0</v>
      </c>
      <c r="G25" s="16"/>
      <c r="H25" s="16"/>
      <c r="I25" s="37">
        <f t="shared" si="14"/>
        <v>-18120</v>
      </c>
      <c r="J25" s="16">
        <v>-15000</v>
      </c>
      <c r="K25" s="16">
        <v>-3120</v>
      </c>
      <c r="L25" s="37">
        <f t="shared" si="15"/>
        <v>0</v>
      </c>
      <c r="M25" s="16"/>
      <c r="N25" s="16"/>
      <c r="O25" s="37">
        <f t="shared" si="16"/>
        <v>0</v>
      </c>
      <c r="P25" s="16"/>
      <c r="Q25" s="16"/>
      <c r="R25" s="37">
        <f t="shared" si="17"/>
        <v>0</v>
      </c>
      <c r="S25" s="16"/>
      <c r="T25" s="16"/>
      <c r="U25" s="37">
        <f t="shared" si="18"/>
        <v>0</v>
      </c>
      <c r="V25" s="16"/>
      <c r="W25" s="16"/>
      <c r="X25" s="37">
        <f t="shared" si="19"/>
        <v>0</v>
      </c>
      <c r="Y25" s="16"/>
      <c r="Z25" s="16"/>
      <c r="AA25" s="37">
        <f t="shared" si="10"/>
        <v>0</v>
      </c>
      <c r="AB25" s="16"/>
      <c r="AC25" s="16"/>
      <c r="AD25" s="37">
        <f t="shared" si="11"/>
        <v>0</v>
      </c>
      <c r="AE25" s="43">
        <f t="shared" si="12"/>
        <v>0</v>
      </c>
      <c r="AF25" s="43">
        <f t="shared" si="8"/>
        <v>0</v>
      </c>
    </row>
    <row r="26" s="33" customFormat="1" ht="26" customHeight="1" spans="1:32">
      <c r="A26" s="14">
        <v>231</v>
      </c>
      <c r="B26" s="19" t="s">
        <v>182</v>
      </c>
      <c r="C26" s="37">
        <f t="shared" si="9"/>
        <v>21135</v>
      </c>
      <c r="D26" s="16">
        <v>21135</v>
      </c>
      <c r="E26" s="37"/>
      <c r="F26" s="37">
        <f t="shared" si="13"/>
        <v>0</v>
      </c>
      <c r="G26" s="16"/>
      <c r="H26" s="16"/>
      <c r="I26" s="37">
        <f t="shared" si="14"/>
        <v>0</v>
      </c>
      <c r="J26" s="16"/>
      <c r="K26" s="16"/>
      <c r="L26" s="37">
        <f t="shared" si="15"/>
        <v>0</v>
      </c>
      <c r="M26" s="16"/>
      <c r="N26" s="16"/>
      <c r="O26" s="37">
        <f t="shared" si="16"/>
        <v>0</v>
      </c>
      <c r="P26" s="16"/>
      <c r="Q26" s="16"/>
      <c r="R26" s="37">
        <f t="shared" si="17"/>
        <v>0</v>
      </c>
      <c r="S26" s="16"/>
      <c r="T26" s="16"/>
      <c r="U26" s="37">
        <f t="shared" si="18"/>
        <v>0</v>
      </c>
      <c r="V26" s="16">
        <v>0</v>
      </c>
      <c r="W26" s="16"/>
      <c r="X26" s="37">
        <f t="shared" si="19"/>
        <v>0</v>
      </c>
      <c r="Y26" s="16"/>
      <c r="Z26" s="16"/>
      <c r="AA26" s="37">
        <f t="shared" si="10"/>
        <v>-21135</v>
      </c>
      <c r="AB26" s="16">
        <v>-21135</v>
      </c>
      <c r="AC26" s="16"/>
      <c r="AD26" s="37">
        <f t="shared" si="11"/>
        <v>0</v>
      </c>
      <c r="AE26" s="43">
        <f t="shared" si="12"/>
        <v>0</v>
      </c>
      <c r="AF26" s="43">
        <f t="shared" si="8"/>
        <v>0</v>
      </c>
    </row>
    <row r="27" s="33" customFormat="1" ht="26" customHeight="1" spans="1:32">
      <c r="A27" s="14">
        <v>232</v>
      </c>
      <c r="B27" s="19" t="s">
        <v>183</v>
      </c>
      <c r="C27" s="37">
        <f t="shared" si="9"/>
        <v>10010</v>
      </c>
      <c r="D27" s="16">
        <v>10010</v>
      </c>
      <c r="E27" s="37"/>
      <c r="F27" s="37">
        <f t="shared" si="13"/>
        <v>0</v>
      </c>
      <c r="G27" s="16"/>
      <c r="H27" s="16"/>
      <c r="I27" s="37">
        <f t="shared" si="14"/>
        <v>0</v>
      </c>
      <c r="J27" s="16"/>
      <c r="K27" s="16"/>
      <c r="L27" s="37">
        <f t="shared" si="15"/>
        <v>0</v>
      </c>
      <c r="M27" s="16"/>
      <c r="N27" s="16"/>
      <c r="O27" s="37">
        <f t="shared" si="16"/>
        <v>0</v>
      </c>
      <c r="P27" s="16"/>
      <c r="Q27" s="16"/>
      <c r="R27" s="37">
        <f t="shared" si="17"/>
        <v>0</v>
      </c>
      <c r="S27" s="16"/>
      <c r="T27" s="16"/>
      <c r="U27" s="37">
        <f t="shared" si="18"/>
        <v>0</v>
      </c>
      <c r="V27" s="16"/>
      <c r="W27" s="16"/>
      <c r="X27" s="37">
        <f t="shared" si="19"/>
        <v>0</v>
      </c>
      <c r="Y27" s="16"/>
      <c r="Z27" s="16"/>
      <c r="AA27" s="37">
        <f t="shared" si="10"/>
        <v>-515</v>
      </c>
      <c r="AB27" s="16">
        <v>-515</v>
      </c>
      <c r="AC27" s="16"/>
      <c r="AD27" s="37">
        <f t="shared" si="11"/>
        <v>9495</v>
      </c>
      <c r="AE27" s="43">
        <f t="shared" si="12"/>
        <v>9495</v>
      </c>
      <c r="AF27" s="43">
        <f t="shared" si="8"/>
        <v>0</v>
      </c>
    </row>
    <row r="28" s="33" customFormat="1" ht="26" customHeight="1" spans="1:32">
      <c r="A28" s="38">
        <v>229</v>
      </c>
      <c r="B28" s="15" t="s">
        <v>184</v>
      </c>
      <c r="C28" s="37">
        <f t="shared" si="9"/>
        <v>124940.31</v>
      </c>
      <c r="D28" s="16">
        <v>124940.31</v>
      </c>
      <c r="E28" s="37"/>
      <c r="F28" s="37">
        <f t="shared" si="13"/>
        <v>-3248</v>
      </c>
      <c r="G28" s="16">
        <v>-3248</v>
      </c>
      <c r="H28" s="16"/>
      <c r="I28" s="37">
        <f t="shared" si="14"/>
        <v>17409</v>
      </c>
      <c r="J28" s="16">
        <v>15000</v>
      </c>
      <c r="K28" s="16">
        <v>2409</v>
      </c>
      <c r="L28" s="37">
        <f t="shared" si="15"/>
        <v>0</v>
      </c>
      <c r="M28" s="16"/>
      <c r="N28" s="16"/>
      <c r="O28" s="37">
        <f t="shared" si="16"/>
        <v>0</v>
      </c>
      <c r="P28" s="16"/>
      <c r="Q28" s="16"/>
      <c r="R28" s="37">
        <f t="shared" si="17"/>
        <v>0</v>
      </c>
      <c r="S28" s="16"/>
      <c r="T28" s="16"/>
      <c r="U28" s="37">
        <f t="shared" si="18"/>
        <v>0</v>
      </c>
      <c r="V28" s="16"/>
      <c r="W28" s="16"/>
      <c r="X28" s="37">
        <f t="shared" si="19"/>
        <v>0</v>
      </c>
      <c r="Y28" s="16"/>
      <c r="Z28" s="16"/>
      <c r="AA28" s="37">
        <f t="shared" si="10"/>
        <v>-110430</v>
      </c>
      <c r="AB28" s="16">
        <f>3248-114000</f>
        <v>-110752</v>
      </c>
      <c r="AC28" s="16">
        <v>322</v>
      </c>
      <c r="AD28" s="37">
        <f t="shared" si="11"/>
        <v>28671.31</v>
      </c>
      <c r="AE28" s="43">
        <f t="shared" si="12"/>
        <v>25940.31</v>
      </c>
      <c r="AF28" s="43">
        <f t="shared" si="8"/>
        <v>2731</v>
      </c>
    </row>
    <row r="29" s="33" customFormat="1" ht="26" customHeight="1" spans="1:32">
      <c r="A29" s="38">
        <v>233</v>
      </c>
      <c r="B29" s="15" t="s">
        <v>185</v>
      </c>
      <c r="C29" s="37">
        <f t="shared" si="9"/>
        <v>100</v>
      </c>
      <c r="D29" s="16">
        <v>100</v>
      </c>
      <c r="E29" s="37"/>
      <c r="F29" s="37">
        <f t="shared" si="13"/>
        <v>0</v>
      </c>
      <c r="G29" s="16"/>
      <c r="H29" s="16"/>
      <c r="I29" s="37">
        <f t="shared" si="14"/>
        <v>0</v>
      </c>
      <c r="J29" s="16">
        <v>0</v>
      </c>
      <c r="K29" s="16">
        <v>0</v>
      </c>
      <c r="L29" s="37">
        <f t="shared" si="15"/>
        <v>0</v>
      </c>
      <c r="M29" s="16"/>
      <c r="N29" s="16"/>
      <c r="O29" s="37">
        <f t="shared" si="16"/>
        <v>0</v>
      </c>
      <c r="P29" s="16"/>
      <c r="Q29" s="16"/>
      <c r="R29" s="37">
        <f t="shared" si="17"/>
        <v>0</v>
      </c>
      <c r="S29" s="16"/>
      <c r="T29" s="16"/>
      <c r="U29" s="37">
        <f t="shared" si="18"/>
        <v>0</v>
      </c>
      <c r="V29" s="16"/>
      <c r="W29" s="16"/>
      <c r="X29" s="37">
        <f t="shared" si="19"/>
        <v>0</v>
      </c>
      <c r="Y29" s="16"/>
      <c r="Z29" s="16"/>
      <c r="AA29" s="37">
        <f t="shared" si="10"/>
        <v>-41</v>
      </c>
      <c r="AB29" s="16">
        <v>-41</v>
      </c>
      <c r="AC29" s="16"/>
      <c r="AD29" s="37">
        <f t="shared" si="11"/>
        <v>59</v>
      </c>
      <c r="AE29" s="43">
        <f t="shared" si="12"/>
        <v>59</v>
      </c>
      <c r="AF29" s="43">
        <f t="shared" si="8"/>
        <v>0</v>
      </c>
    </row>
    <row r="30" s="33" customFormat="1" ht="34.5" customHeight="1" spans="1:32">
      <c r="A30" s="38"/>
      <c r="B30" s="39" t="s">
        <v>186</v>
      </c>
      <c r="C30" s="16">
        <f>SUM(C5:C29)</f>
        <v>901726.97</v>
      </c>
      <c r="D30" s="16">
        <f>SUM(D5:D29)</f>
        <v>693726.97</v>
      </c>
      <c r="E30" s="16">
        <f>SUM(E5:E29)</f>
        <v>208000</v>
      </c>
      <c r="F30" s="16">
        <f t="shared" ref="C30:I30" si="20">SUM(F5:F29)</f>
        <v>11929</v>
      </c>
      <c r="G30" s="16">
        <f>SUM(G5:G28)</f>
        <v>11929</v>
      </c>
      <c r="H30" s="16">
        <f t="shared" si="20"/>
        <v>0</v>
      </c>
      <c r="I30" s="16">
        <f t="shared" si="20"/>
        <v>0</v>
      </c>
      <c r="J30" s="16">
        <f>SUM(J5:J28)</f>
        <v>0</v>
      </c>
      <c r="K30" s="16">
        <f t="shared" ref="K30:O30" si="21">SUM(K5:K29)</f>
        <v>0</v>
      </c>
      <c r="L30" s="16">
        <f t="shared" si="21"/>
        <v>9508</v>
      </c>
      <c r="M30" s="16">
        <f>SUM(M5:M28)</f>
        <v>173</v>
      </c>
      <c r="N30" s="16">
        <f t="shared" si="21"/>
        <v>9335</v>
      </c>
      <c r="O30" s="16">
        <f t="shared" si="21"/>
        <v>0</v>
      </c>
      <c r="P30" s="16">
        <f>SUM(P5:P28)</f>
        <v>0</v>
      </c>
      <c r="Q30" s="16">
        <f t="shared" ref="Q30:U30" si="22">SUM(Q5:Q29)</f>
        <v>0</v>
      </c>
      <c r="R30" s="16">
        <f t="shared" si="22"/>
        <v>0</v>
      </c>
      <c r="S30" s="16">
        <f t="shared" ref="S30:W30" si="23">SUM(S5:S28)</f>
        <v>0</v>
      </c>
      <c r="T30" s="16">
        <f t="shared" si="22"/>
        <v>0</v>
      </c>
      <c r="U30" s="16">
        <f t="shared" si="22"/>
        <v>40986</v>
      </c>
      <c r="V30" s="16">
        <f t="shared" si="23"/>
        <v>40986</v>
      </c>
      <c r="W30" s="16">
        <f t="shared" si="23"/>
        <v>0</v>
      </c>
      <c r="X30" s="16">
        <f>SUM(X5:X29)</f>
        <v>42</v>
      </c>
      <c r="Y30" s="16">
        <f t="shared" ref="Y30:AC30" si="24">SUM(Y5:Y28)</f>
        <v>42</v>
      </c>
      <c r="Z30" s="16">
        <f t="shared" si="24"/>
        <v>0</v>
      </c>
      <c r="AA30" s="16">
        <f>SUM(AA5:AA29)</f>
        <v>0</v>
      </c>
      <c r="AB30" s="16">
        <f>SUM(AB5:AB29)</f>
        <v>0</v>
      </c>
      <c r="AC30" s="16">
        <f t="shared" si="24"/>
        <v>0</v>
      </c>
      <c r="AD30" s="16">
        <f>SUM(AD5:AD29)</f>
        <v>964191.97</v>
      </c>
      <c r="AE30" s="16">
        <f>SUM(AE5:AE29)</f>
        <v>746856.97</v>
      </c>
      <c r="AF30" s="16">
        <f>SUM(AF5:AF29)</f>
        <v>217335</v>
      </c>
    </row>
    <row r="31" s="33" customFormat="1" ht="37" customHeight="1" spans="30:32">
      <c r="AD31" s="34"/>
      <c r="AE31" s="34"/>
      <c r="AF31" s="34"/>
    </row>
    <row r="32" s="33" customFormat="1" spans="30:32">
      <c r="AD32" s="34"/>
      <c r="AE32" s="4"/>
      <c r="AF32" s="4"/>
    </row>
    <row r="33" s="33" customFormat="1" spans="30:32">
      <c r="AD33" s="34"/>
      <c r="AE33" s="4"/>
      <c r="AF33" s="4"/>
    </row>
    <row r="34" s="33" customFormat="1" spans="30:32">
      <c r="AD34" s="34"/>
      <c r="AE34" s="4"/>
      <c r="AF34" s="4"/>
    </row>
  </sheetData>
  <mergeCells count="25">
    <mergeCell ref="A1:AF1"/>
    <mergeCell ref="G2:Y2"/>
    <mergeCell ref="AE2:AF2"/>
    <mergeCell ref="D3:E3"/>
    <mergeCell ref="G3:H3"/>
    <mergeCell ref="J3:K3"/>
    <mergeCell ref="M3:N3"/>
    <mergeCell ref="P3:Q3"/>
    <mergeCell ref="S3:T3"/>
    <mergeCell ref="V3:W3"/>
    <mergeCell ref="Y3:Z3"/>
    <mergeCell ref="AB3:AC3"/>
    <mergeCell ref="AE3:AF3"/>
    <mergeCell ref="A3:A4"/>
    <mergeCell ref="B3:B4"/>
    <mergeCell ref="C3:C4"/>
    <mergeCell ref="F3:F4"/>
    <mergeCell ref="I3:I4"/>
    <mergeCell ref="L3:L4"/>
    <mergeCell ref="O3:O4"/>
    <mergeCell ref="R3:R4"/>
    <mergeCell ref="U3:U4"/>
    <mergeCell ref="X3:X4"/>
    <mergeCell ref="AA3:AA4"/>
    <mergeCell ref="AD3:AD4"/>
  </mergeCells>
  <pageMargins left="0.700694444444445" right="0.700694444444445" top="0.751388888888889" bottom="0.751388888888889" header="0.298611111111111" footer="0.298611111111111"/>
  <pageSetup paperSize="9" scale="50" fitToHeight="0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8"/>
  <sheetViews>
    <sheetView showZeros="0" tabSelected="1" view="pageBreakPreview" zoomScale="70" zoomScaleNormal="100" workbookViewId="0">
      <pane xSplit="2" ySplit="4" topLeftCell="D11" activePane="bottomRight" state="frozen"/>
      <selection/>
      <selection pane="topRight"/>
      <selection pane="bottomLeft"/>
      <selection pane="bottomRight" activeCell="AD18" sqref="AD18:AF18"/>
    </sheetView>
  </sheetViews>
  <sheetFormatPr defaultColWidth="9" defaultRowHeight="13.5"/>
  <cols>
    <col min="1" max="1" width="12.375" style="1" customWidth="1"/>
    <col min="2" max="2" width="23.25" style="1" customWidth="1"/>
    <col min="3" max="5" width="15.5" style="2" customWidth="1"/>
    <col min="6" max="6" width="13.375" style="2" hidden="1" customWidth="1"/>
    <col min="7" max="8" width="7" style="2" hidden="1" customWidth="1"/>
    <col min="9" max="9" width="15.125" style="2" customWidth="1"/>
    <col min="10" max="10" width="13.5" style="2" customWidth="1"/>
    <col min="11" max="11" width="10.875" style="2" customWidth="1"/>
    <col min="12" max="12" width="17.75" style="2" customWidth="1"/>
    <col min="13" max="14" width="16.125" style="2" customWidth="1"/>
    <col min="15" max="15" width="5.875" style="1" hidden="1" customWidth="1"/>
    <col min="16" max="17" width="7" style="1" hidden="1" customWidth="1"/>
    <col min="18" max="18" width="5.875" style="1" hidden="1" customWidth="1"/>
    <col min="19" max="20" width="7" style="1" hidden="1" customWidth="1"/>
    <col min="21" max="21" width="13.875" style="1" customWidth="1"/>
    <col min="22" max="22" width="12.25" style="2" customWidth="1"/>
    <col min="23" max="23" width="10.625" style="1" customWidth="1"/>
    <col min="24" max="25" width="13" style="1" customWidth="1"/>
    <col min="26" max="26" width="10.25" style="1" customWidth="1"/>
    <col min="27" max="27" width="8.375" style="1" hidden="1" customWidth="1"/>
    <col min="28" max="29" width="7" style="1" hidden="1" customWidth="1"/>
    <col min="30" max="30" width="16.75" style="3" customWidth="1"/>
    <col min="31" max="31" width="13.375" style="4" customWidth="1"/>
    <col min="32" max="32" width="12.625" style="2" customWidth="1"/>
    <col min="33" max="16384" width="9" style="1"/>
  </cols>
  <sheetData>
    <row r="1" s="1" customFormat="1" ht="31" customHeight="1" spans="1:32">
      <c r="A1" s="5" t="s">
        <v>187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="1" customFormat="1" ht="24" customHeight="1" spans="1:32">
      <c r="A2" s="1" t="s">
        <v>1</v>
      </c>
      <c r="B2" s="6"/>
      <c r="C2" s="7"/>
      <c r="D2" s="7"/>
      <c r="E2" s="8"/>
      <c r="F2" s="9"/>
      <c r="G2" s="10" t="str">
        <f>附表1收入调整表2021!E2</f>
        <v>编制日期：2021年12月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26"/>
      <c r="Y2" s="26"/>
      <c r="Z2" s="26"/>
      <c r="AA2" s="26"/>
      <c r="AB2" s="26"/>
      <c r="AC2" s="26"/>
      <c r="AD2" s="27" t="s">
        <v>3</v>
      </c>
      <c r="AE2" s="27"/>
      <c r="AF2" s="27"/>
    </row>
    <row r="3" s="1" customFormat="1" ht="48" customHeight="1" spans="1:32">
      <c r="A3" s="11" t="s">
        <v>148</v>
      </c>
      <c r="B3" s="11" t="s">
        <v>149</v>
      </c>
      <c r="C3" s="11" t="s">
        <v>150</v>
      </c>
      <c r="D3" s="12" t="s">
        <v>151</v>
      </c>
      <c r="E3" s="12"/>
      <c r="F3" s="11" t="s">
        <v>152</v>
      </c>
      <c r="G3" s="12" t="s">
        <v>151</v>
      </c>
      <c r="H3" s="12"/>
      <c r="I3" s="11" t="s">
        <v>188</v>
      </c>
      <c r="J3" s="12" t="s">
        <v>151</v>
      </c>
      <c r="K3" s="12"/>
      <c r="L3" s="11" t="s">
        <v>154</v>
      </c>
      <c r="M3" s="12" t="s">
        <v>151</v>
      </c>
      <c r="N3" s="12"/>
      <c r="O3" s="22" t="s">
        <v>155</v>
      </c>
      <c r="P3" s="12" t="s">
        <v>151</v>
      </c>
      <c r="Q3" s="12"/>
      <c r="R3" s="22" t="s">
        <v>189</v>
      </c>
      <c r="S3" s="12" t="s">
        <v>151</v>
      </c>
      <c r="T3" s="12"/>
      <c r="U3" s="11" t="s">
        <v>157</v>
      </c>
      <c r="V3" s="12" t="s">
        <v>151</v>
      </c>
      <c r="W3" s="12"/>
      <c r="X3" s="11" t="s">
        <v>159</v>
      </c>
      <c r="Y3" s="12" t="s">
        <v>151</v>
      </c>
      <c r="Z3" s="12"/>
      <c r="AA3" s="11" t="s">
        <v>190</v>
      </c>
      <c r="AB3" s="12" t="s">
        <v>151</v>
      </c>
      <c r="AC3" s="12"/>
      <c r="AD3" s="11" t="s">
        <v>160</v>
      </c>
      <c r="AE3" s="28" t="s">
        <v>151</v>
      </c>
      <c r="AF3" s="28"/>
    </row>
    <row r="4" s="1" customFormat="1" ht="48" customHeight="1" spans="1:32">
      <c r="A4" s="11"/>
      <c r="B4" s="11"/>
      <c r="C4" s="11"/>
      <c r="D4" s="13" t="s">
        <v>10</v>
      </c>
      <c r="E4" s="13" t="s">
        <v>11</v>
      </c>
      <c r="F4" s="11"/>
      <c r="G4" s="13" t="s">
        <v>10</v>
      </c>
      <c r="H4" s="13" t="s">
        <v>11</v>
      </c>
      <c r="I4" s="11"/>
      <c r="J4" s="13" t="s">
        <v>10</v>
      </c>
      <c r="K4" s="13" t="s">
        <v>11</v>
      </c>
      <c r="L4" s="11"/>
      <c r="M4" s="13" t="s">
        <v>10</v>
      </c>
      <c r="N4" s="13" t="s">
        <v>11</v>
      </c>
      <c r="O4" s="23"/>
      <c r="P4" s="13" t="s">
        <v>10</v>
      </c>
      <c r="Q4" s="13" t="s">
        <v>11</v>
      </c>
      <c r="R4" s="23"/>
      <c r="S4" s="13" t="s">
        <v>10</v>
      </c>
      <c r="T4" s="13" t="s">
        <v>11</v>
      </c>
      <c r="U4" s="11"/>
      <c r="V4" s="13" t="s">
        <v>10</v>
      </c>
      <c r="W4" s="13" t="s">
        <v>11</v>
      </c>
      <c r="X4" s="11"/>
      <c r="Y4" s="13" t="s">
        <v>10</v>
      </c>
      <c r="Z4" s="13" t="s">
        <v>11</v>
      </c>
      <c r="AA4" s="11"/>
      <c r="AB4" s="13" t="s">
        <v>10</v>
      </c>
      <c r="AC4" s="13" t="s">
        <v>11</v>
      </c>
      <c r="AD4" s="11"/>
      <c r="AE4" s="29" t="s">
        <v>10</v>
      </c>
      <c r="AF4" s="30" t="s">
        <v>11</v>
      </c>
    </row>
    <row r="5" s="1" customFormat="1" ht="62" customHeight="1" spans="1:32">
      <c r="A5" s="14">
        <v>206</v>
      </c>
      <c r="B5" s="15" t="s">
        <v>165</v>
      </c>
      <c r="C5" s="16">
        <f t="shared" ref="C5:C17" si="0">D5+E5</f>
        <v>0</v>
      </c>
      <c r="D5" s="16"/>
      <c r="E5" s="16"/>
      <c r="F5" s="16">
        <v>0</v>
      </c>
      <c r="G5" s="16"/>
      <c r="H5" s="16"/>
      <c r="I5" s="16">
        <f t="shared" ref="I5:I16" si="1">J5+K5</f>
        <v>0</v>
      </c>
      <c r="J5" s="16"/>
      <c r="K5" s="16"/>
      <c r="L5" s="16">
        <f t="shared" ref="L5:L16" si="2">M5+N5</f>
        <v>0</v>
      </c>
      <c r="M5" s="16"/>
      <c r="N5" s="16"/>
      <c r="O5" s="24">
        <f t="shared" ref="O5:O16" si="3">P5+Q5</f>
        <v>0</v>
      </c>
      <c r="P5" s="24">
        <v>0</v>
      </c>
      <c r="Q5" s="24">
        <v>0</v>
      </c>
      <c r="R5" s="24">
        <f t="shared" ref="R5:R16" si="4">S5+T5</f>
        <v>0</v>
      </c>
      <c r="S5" s="24">
        <v>0</v>
      </c>
      <c r="T5" s="24">
        <v>0</v>
      </c>
      <c r="U5" s="24">
        <f t="shared" ref="U5:U16" si="5">V5+W5</f>
        <v>0</v>
      </c>
      <c r="V5" s="16">
        <v>0</v>
      </c>
      <c r="W5" s="24">
        <v>0</v>
      </c>
      <c r="X5" s="24">
        <f t="shared" ref="X5:X16" si="6">Y5+Z5</f>
        <v>0</v>
      </c>
      <c r="Y5" s="24">
        <v>0</v>
      </c>
      <c r="Z5" s="24">
        <v>0</v>
      </c>
      <c r="AA5" s="24">
        <f t="shared" ref="AA5:AA16" si="7">AB5+AC5</f>
        <v>0</v>
      </c>
      <c r="AB5" s="24">
        <v>0</v>
      </c>
      <c r="AC5" s="24">
        <v>0</v>
      </c>
      <c r="AD5" s="31">
        <f t="shared" ref="AD5:AD17" si="8">C5+F5+I5+L5+O5+R5+U5+X5-AA5</f>
        <v>0</v>
      </c>
      <c r="AE5" s="31">
        <f t="shared" ref="AE5:AE17" si="9">D5+G5+J5+M5+P5+S5+V5+Y5-AB5</f>
        <v>0</v>
      </c>
      <c r="AF5" s="31">
        <f t="shared" ref="AF5:AF17" si="10">E5+H5+K5+N5+Q5+T5+W5+Z5-AC5</f>
        <v>0</v>
      </c>
    </row>
    <row r="6" s="1" customFormat="1" ht="62" customHeight="1" spans="1:32">
      <c r="A6" s="14">
        <v>207</v>
      </c>
      <c r="B6" s="15" t="s">
        <v>166</v>
      </c>
      <c r="C6" s="16">
        <f t="shared" si="0"/>
        <v>0</v>
      </c>
      <c r="D6" s="16"/>
      <c r="E6" s="16"/>
      <c r="F6" s="16">
        <v>0</v>
      </c>
      <c r="G6" s="16"/>
      <c r="H6" s="16"/>
      <c r="I6" s="16">
        <f t="shared" si="1"/>
        <v>0</v>
      </c>
      <c r="J6" s="16"/>
      <c r="K6" s="16"/>
      <c r="L6" s="16">
        <f t="shared" si="2"/>
        <v>0</v>
      </c>
      <c r="M6" s="16"/>
      <c r="N6" s="16"/>
      <c r="O6" s="24">
        <f t="shared" si="3"/>
        <v>0</v>
      </c>
      <c r="P6" s="24">
        <v>0</v>
      </c>
      <c r="Q6" s="24">
        <v>0</v>
      </c>
      <c r="R6" s="24">
        <f t="shared" si="4"/>
        <v>0</v>
      </c>
      <c r="S6" s="24">
        <v>0</v>
      </c>
      <c r="T6" s="24">
        <v>0</v>
      </c>
      <c r="U6" s="24">
        <f t="shared" si="5"/>
        <v>0</v>
      </c>
      <c r="V6" s="16">
        <v>0</v>
      </c>
      <c r="W6" s="24">
        <v>0</v>
      </c>
      <c r="X6" s="24">
        <f t="shared" si="6"/>
        <v>0</v>
      </c>
      <c r="Y6" s="24">
        <v>0</v>
      </c>
      <c r="Z6" s="24">
        <v>0</v>
      </c>
      <c r="AA6" s="24">
        <f t="shared" si="7"/>
        <v>0</v>
      </c>
      <c r="AB6" s="24">
        <v>0</v>
      </c>
      <c r="AC6" s="24">
        <v>0</v>
      </c>
      <c r="AD6" s="31">
        <f t="shared" si="8"/>
        <v>0</v>
      </c>
      <c r="AE6" s="31">
        <f t="shared" si="9"/>
        <v>0</v>
      </c>
      <c r="AF6" s="31">
        <f t="shared" si="10"/>
        <v>0</v>
      </c>
    </row>
    <row r="7" s="1" customFormat="1" ht="62" customHeight="1" spans="1:32">
      <c r="A7" s="14">
        <v>208</v>
      </c>
      <c r="B7" s="15" t="s">
        <v>191</v>
      </c>
      <c r="C7" s="17">
        <f t="shared" si="0"/>
        <v>0</v>
      </c>
      <c r="D7" s="17"/>
      <c r="E7" s="17"/>
      <c r="F7" s="17">
        <v>0</v>
      </c>
      <c r="G7" s="17"/>
      <c r="H7" s="17"/>
      <c r="I7" s="17">
        <f t="shared" si="1"/>
        <v>0</v>
      </c>
      <c r="J7" s="17"/>
      <c r="K7" s="17"/>
      <c r="L7" s="17">
        <f t="shared" si="2"/>
        <v>0</v>
      </c>
      <c r="M7" s="17"/>
      <c r="N7" s="17"/>
      <c r="O7" s="25">
        <f t="shared" si="3"/>
        <v>0</v>
      </c>
      <c r="P7" s="25">
        <v>0</v>
      </c>
      <c r="Q7" s="25">
        <v>0</v>
      </c>
      <c r="R7" s="25">
        <f t="shared" si="4"/>
        <v>0</v>
      </c>
      <c r="S7" s="25">
        <v>0</v>
      </c>
      <c r="T7" s="25">
        <v>0</v>
      </c>
      <c r="U7" s="25">
        <f t="shared" si="5"/>
        <v>0</v>
      </c>
      <c r="V7" s="17">
        <v>0</v>
      </c>
      <c r="W7" s="25">
        <v>0</v>
      </c>
      <c r="X7" s="25">
        <f t="shared" si="6"/>
        <v>0</v>
      </c>
      <c r="Y7" s="25">
        <v>0</v>
      </c>
      <c r="Z7" s="25">
        <v>0</v>
      </c>
      <c r="AA7" s="25">
        <f t="shared" si="7"/>
        <v>0</v>
      </c>
      <c r="AB7" s="25">
        <v>0</v>
      </c>
      <c r="AC7" s="25">
        <v>0</v>
      </c>
      <c r="AD7" s="32">
        <f t="shared" si="8"/>
        <v>0</v>
      </c>
      <c r="AE7" s="32">
        <f t="shared" si="9"/>
        <v>0</v>
      </c>
      <c r="AF7" s="32">
        <f t="shared" si="10"/>
        <v>0</v>
      </c>
    </row>
    <row r="8" s="1" customFormat="1" ht="62" customHeight="1" spans="1:32">
      <c r="A8" s="14">
        <v>211</v>
      </c>
      <c r="B8" s="15" t="s">
        <v>169</v>
      </c>
      <c r="C8" s="17">
        <f t="shared" si="0"/>
        <v>0</v>
      </c>
      <c r="D8" s="17"/>
      <c r="E8" s="17"/>
      <c r="F8" s="17">
        <v>0</v>
      </c>
      <c r="G8" s="17"/>
      <c r="H8" s="17"/>
      <c r="I8" s="17">
        <f t="shared" si="1"/>
        <v>0</v>
      </c>
      <c r="J8" s="17"/>
      <c r="K8" s="17"/>
      <c r="L8" s="17">
        <f t="shared" si="2"/>
        <v>0</v>
      </c>
      <c r="M8" s="17"/>
      <c r="N8" s="17"/>
      <c r="O8" s="25">
        <f t="shared" si="3"/>
        <v>0</v>
      </c>
      <c r="P8" s="25">
        <v>0</v>
      </c>
      <c r="Q8" s="25">
        <v>0</v>
      </c>
      <c r="R8" s="25">
        <f t="shared" si="4"/>
        <v>0</v>
      </c>
      <c r="S8" s="25">
        <v>0</v>
      </c>
      <c r="T8" s="25">
        <v>0</v>
      </c>
      <c r="U8" s="25">
        <f t="shared" si="5"/>
        <v>0</v>
      </c>
      <c r="V8" s="17">
        <v>0</v>
      </c>
      <c r="W8" s="25">
        <v>0</v>
      </c>
      <c r="X8" s="25">
        <f t="shared" si="6"/>
        <v>0</v>
      </c>
      <c r="Y8" s="25">
        <v>0</v>
      </c>
      <c r="Z8" s="25">
        <v>0</v>
      </c>
      <c r="AA8" s="25">
        <f t="shared" si="7"/>
        <v>0</v>
      </c>
      <c r="AB8" s="25">
        <v>0</v>
      </c>
      <c r="AC8" s="25">
        <v>0</v>
      </c>
      <c r="AD8" s="32">
        <f t="shared" si="8"/>
        <v>0</v>
      </c>
      <c r="AE8" s="32">
        <f t="shared" si="9"/>
        <v>0</v>
      </c>
      <c r="AF8" s="32">
        <f t="shared" si="10"/>
        <v>0</v>
      </c>
    </row>
    <row r="9" s="1" customFormat="1" ht="62" customHeight="1" spans="1:32">
      <c r="A9" s="14">
        <v>212</v>
      </c>
      <c r="B9" s="15" t="s">
        <v>170</v>
      </c>
      <c r="C9" s="17">
        <f t="shared" si="0"/>
        <v>1919153.27</v>
      </c>
      <c r="D9" s="17">
        <v>1473353.27</v>
      </c>
      <c r="E9" s="17">
        <f>2800+443000</f>
        <v>445800</v>
      </c>
      <c r="F9" s="17">
        <v>0</v>
      </c>
      <c r="G9" s="17"/>
      <c r="H9" s="17"/>
      <c r="I9" s="17">
        <f t="shared" si="1"/>
        <v>55314</v>
      </c>
      <c r="J9" s="17">
        <v>55314</v>
      </c>
      <c r="K9" s="17"/>
      <c r="L9" s="17">
        <f t="shared" si="2"/>
        <v>-1020045</v>
      </c>
      <c r="M9" s="17">
        <f>-904963-20610+4763-6915+1995</f>
        <v>-925730</v>
      </c>
      <c r="N9" s="17">
        <v>-94315</v>
      </c>
      <c r="O9" s="25">
        <f t="shared" si="3"/>
        <v>0</v>
      </c>
      <c r="P9" s="25">
        <v>0</v>
      </c>
      <c r="Q9" s="25">
        <v>0</v>
      </c>
      <c r="R9" s="25">
        <f t="shared" si="4"/>
        <v>0</v>
      </c>
      <c r="S9" s="25">
        <v>0</v>
      </c>
      <c r="T9" s="25">
        <v>0</v>
      </c>
      <c r="U9" s="25">
        <f t="shared" si="5"/>
        <v>0</v>
      </c>
      <c r="V9" s="17"/>
      <c r="W9" s="25"/>
      <c r="X9" s="25">
        <f t="shared" si="6"/>
        <v>15847</v>
      </c>
      <c r="Y9" s="25">
        <v>15847</v>
      </c>
      <c r="Z9" s="25"/>
      <c r="AA9" s="25">
        <f t="shared" si="7"/>
        <v>0</v>
      </c>
      <c r="AB9" s="25">
        <v>0</v>
      </c>
      <c r="AC9" s="25">
        <v>0</v>
      </c>
      <c r="AD9" s="32">
        <f t="shared" si="8"/>
        <v>970269.27</v>
      </c>
      <c r="AE9" s="32">
        <f t="shared" si="9"/>
        <v>618784.27</v>
      </c>
      <c r="AF9" s="32">
        <f t="shared" si="10"/>
        <v>351485</v>
      </c>
    </row>
    <row r="10" s="1" customFormat="1" ht="62" customHeight="1" spans="1:32">
      <c r="A10" s="14">
        <v>213</v>
      </c>
      <c r="B10" s="15" t="s">
        <v>171</v>
      </c>
      <c r="C10" s="17">
        <f t="shared" si="0"/>
        <v>0</v>
      </c>
      <c r="D10" s="17"/>
      <c r="E10" s="17"/>
      <c r="F10" s="17">
        <v>0</v>
      </c>
      <c r="G10" s="17"/>
      <c r="H10" s="17"/>
      <c r="I10" s="17">
        <f t="shared" si="1"/>
        <v>0</v>
      </c>
      <c r="J10" s="17"/>
      <c r="K10" s="17"/>
      <c r="L10" s="17">
        <f t="shared" si="2"/>
        <v>0</v>
      </c>
      <c r="M10" s="17"/>
      <c r="N10" s="17"/>
      <c r="O10" s="25">
        <f t="shared" si="3"/>
        <v>0</v>
      </c>
      <c r="P10" s="25">
        <v>0</v>
      </c>
      <c r="Q10" s="25">
        <v>0</v>
      </c>
      <c r="R10" s="25">
        <f t="shared" si="4"/>
        <v>0</v>
      </c>
      <c r="S10" s="25">
        <v>0</v>
      </c>
      <c r="T10" s="25">
        <v>0</v>
      </c>
      <c r="U10" s="25">
        <f t="shared" si="5"/>
        <v>0</v>
      </c>
      <c r="V10" s="17">
        <v>0</v>
      </c>
      <c r="W10" s="25">
        <v>0</v>
      </c>
      <c r="X10" s="25">
        <f t="shared" si="6"/>
        <v>0</v>
      </c>
      <c r="Y10" s="25">
        <v>0</v>
      </c>
      <c r="Z10" s="25"/>
      <c r="AA10" s="25">
        <f t="shared" si="7"/>
        <v>0</v>
      </c>
      <c r="AB10" s="25">
        <v>0</v>
      </c>
      <c r="AC10" s="25">
        <v>0</v>
      </c>
      <c r="AD10" s="32">
        <f t="shared" si="8"/>
        <v>0</v>
      </c>
      <c r="AE10" s="32">
        <f t="shared" si="9"/>
        <v>0</v>
      </c>
      <c r="AF10" s="32">
        <f t="shared" si="10"/>
        <v>0</v>
      </c>
    </row>
    <row r="11" s="1" customFormat="1" ht="62" customHeight="1" spans="1:32">
      <c r="A11" s="14">
        <v>214</v>
      </c>
      <c r="B11" s="15" t="s">
        <v>172</v>
      </c>
      <c r="C11" s="17">
        <f t="shared" si="0"/>
        <v>0</v>
      </c>
      <c r="D11" s="17"/>
      <c r="E11" s="17"/>
      <c r="F11" s="17">
        <v>0</v>
      </c>
      <c r="G11" s="17"/>
      <c r="H11" s="17"/>
      <c r="I11" s="17">
        <f t="shared" si="1"/>
        <v>0</v>
      </c>
      <c r="J11" s="17"/>
      <c r="K11" s="17"/>
      <c r="L11" s="17">
        <f t="shared" si="2"/>
        <v>0</v>
      </c>
      <c r="M11" s="17"/>
      <c r="N11" s="17"/>
      <c r="O11" s="25">
        <f t="shared" si="3"/>
        <v>0</v>
      </c>
      <c r="P11" s="25">
        <v>0</v>
      </c>
      <c r="Q11" s="25">
        <v>0</v>
      </c>
      <c r="R11" s="25">
        <f t="shared" si="4"/>
        <v>0</v>
      </c>
      <c r="S11" s="25">
        <v>0</v>
      </c>
      <c r="T11" s="25">
        <v>0</v>
      </c>
      <c r="U11" s="25">
        <f t="shared" si="5"/>
        <v>0</v>
      </c>
      <c r="V11" s="17">
        <v>0</v>
      </c>
      <c r="W11" s="25">
        <v>0</v>
      </c>
      <c r="X11" s="25">
        <f t="shared" si="6"/>
        <v>0</v>
      </c>
      <c r="Y11" s="25">
        <v>0</v>
      </c>
      <c r="Z11" s="25"/>
      <c r="AA11" s="25">
        <f t="shared" si="7"/>
        <v>0</v>
      </c>
      <c r="AB11" s="25">
        <v>0</v>
      </c>
      <c r="AC11" s="25">
        <v>0</v>
      </c>
      <c r="AD11" s="32">
        <f t="shared" si="8"/>
        <v>0</v>
      </c>
      <c r="AE11" s="32">
        <f t="shared" si="9"/>
        <v>0</v>
      </c>
      <c r="AF11" s="32">
        <f t="shared" si="10"/>
        <v>0</v>
      </c>
    </row>
    <row r="12" s="1" customFormat="1" ht="62" customHeight="1" spans="1:32">
      <c r="A12" s="14">
        <v>215</v>
      </c>
      <c r="B12" s="15" t="s">
        <v>192</v>
      </c>
      <c r="C12" s="17">
        <f t="shared" si="0"/>
        <v>0</v>
      </c>
      <c r="D12" s="17"/>
      <c r="E12" s="17"/>
      <c r="F12" s="17">
        <v>0</v>
      </c>
      <c r="G12" s="17"/>
      <c r="H12" s="17"/>
      <c r="I12" s="17">
        <f t="shared" si="1"/>
        <v>0</v>
      </c>
      <c r="J12" s="17"/>
      <c r="K12" s="17"/>
      <c r="L12" s="17">
        <f t="shared" si="2"/>
        <v>0</v>
      </c>
      <c r="M12" s="17"/>
      <c r="N12" s="17"/>
      <c r="O12" s="25">
        <f t="shared" si="3"/>
        <v>0</v>
      </c>
      <c r="P12" s="25">
        <v>0</v>
      </c>
      <c r="Q12" s="25">
        <v>0</v>
      </c>
      <c r="R12" s="25">
        <f t="shared" si="4"/>
        <v>0</v>
      </c>
      <c r="S12" s="25">
        <v>0</v>
      </c>
      <c r="T12" s="25">
        <v>0</v>
      </c>
      <c r="U12" s="25">
        <f t="shared" si="5"/>
        <v>0</v>
      </c>
      <c r="V12" s="17">
        <v>0</v>
      </c>
      <c r="W12" s="25">
        <v>0</v>
      </c>
      <c r="X12" s="25">
        <f t="shared" si="6"/>
        <v>0</v>
      </c>
      <c r="Y12" s="25">
        <v>0</v>
      </c>
      <c r="Z12" s="25"/>
      <c r="AA12" s="25">
        <f t="shared" si="7"/>
        <v>0</v>
      </c>
      <c r="AB12" s="25">
        <v>0</v>
      </c>
      <c r="AC12" s="25">
        <v>0</v>
      </c>
      <c r="AD12" s="32">
        <f t="shared" si="8"/>
        <v>0</v>
      </c>
      <c r="AE12" s="32">
        <f t="shared" si="9"/>
        <v>0</v>
      </c>
      <c r="AF12" s="32">
        <f t="shared" si="10"/>
        <v>0</v>
      </c>
    </row>
    <row r="13" s="1" customFormat="1" ht="62" customHeight="1" spans="1:32">
      <c r="A13" s="14">
        <v>229</v>
      </c>
      <c r="B13" s="18" t="s">
        <v>184</v>
      </c>
      <c r="C13" s="17">
        <f t="shared" si="0"/>
        <v>1000</v>
      </c>
      <c r="D13" s="17">
        <v>1000</v>
      </c>
      <c r="E13" s="17"/>
      <c r="F13" s="17">
        <v>0</v>
      </c>
      <c r="G13" s="17"/>
      <c r="H13" s="17"/>
      <c r="I13" s="17">
        <f t="shared" si="1"/>
        <v>632</v>
      </c>
      <c r="J13" s="17">
        <v>632</v>
      </c>
      <c r="K13" s="17"/>
      <c r="L13" s="17">
        <f t="shared" si="2"/>
        <v>200</v>
      </c>
      <c r="M13" s="17">
        <v>200</v>
      </c>
      <c r="N13" s="17"/>
      <c r="O13" s="25">
        <f t="shared" si="3"/>
        <v>0</v>
      </c>
      <c r="P13" s="25">
        <v>0</v>
      </c>
      <c r="Q13" s="25">
        <v>0</v>
      </c>
      <c r="R13" s="25">
        <f t="shared" si="4"/>
        <v>0</v>
      </c>
      <c r="S13" s="25">
        <v>0</v>
      </c>
      <c r="T13" s="25">
        <v>0</v>
      </c>
      <c r="U13" s="25">
        <f t="shared" si="5"/>
        <v>24129</v>
      </c>
      <c r="V13" s="17">
        <v>24129</v>
      </c>
      <c r="W13" s="25">
        <v>0</v>
      </c>
      <c r="X13" s="25">
        <f t="shared" si="6"/>
        <v>0</v>
      </c>
      <c r="Y13" s="25">
        <v>0</v>
      </c>
      <c r="Z13" s="25"/>
      <c r="AA13" s="25">
        <f t="shared" si="7"/>
        <v>0</v>
      </c>
      <c r="AB13" s="25">
        <v>0</v>
      </c>
      <c r="AC13" s="25">
        <v>0</v>
      </c>
      <c r="AD13" s="32">
        <f t="shared" si="8"/>
        <v>25961</v>
      </c>
      <c r="AE13" s="32">
        <f t="shared" si="9"/>
        <v>25961</v>
      </c>
      <c r="AF13" s="32">
        <f t="shared" si="10"/>
        <v>0</v>
      </c>
    </row>
    <row r="14" s="1" customFormat="1" ht="62" customHeight="1" spans="1:32">
      <c r="A14" s="14">
        <v>231</v>
      </c>
      <c r="B14" s="19" t="s">
        <v>182</v>
      </c>
      <c r="C14" s="17">
        <f t="shared" si="0"/>
        <v>15847</v>
      </c>
      <c r="D14" s="17">
        <v>15847</v>
      </c>
      <c r="E14" s="17"/>
      <c r="F14" s="17">
        <v>0</v>
      </c>
      <c r="G14" s="17"/>
      <c r="H14" s="17"/>
      <c r="I14" s="17">
        <f t="shared" si="1"/>
        <v>0</v>
      </c>
      <c r="J14" s="17"/>
      <c r="K14" s="17"/>
      <c r="L14" s="17">
        <v>0</v>
      </c>
      <c r="M14" s="17">
        <v>0</v>
      </c>
      <c r="N14" s="17"/>
      <c r="O14" s="25">
        <f t="shared" si="3"/>
        <v>0</v>
      </c>
      <c r="P14" s="25">
        <v>0</v>
      </c>
      <c r="Q14" s="25">
        <v>0</v>
      </c>
      <c r="R14" s="25">
        <f t="shared" si="4"/>
        <v>0</v>
      </c>
      <c r="S14" s="25">
        <v>0</v>
      </c>
      <c r="T14" s="25">
        <v>0</v>
      </c>
      <c r="U14" s="25">
        <f t="shared" si="5"/>
        <v>0</v>
      </c>
      <c r="V14" s="17">
        <v>0</v>
      </c>
      <c r="W14" s="25">
        <v>0</v>
      </c>
      <c r="X14" s="25">
        <f t="shared" si="6"/>
        <v>-15847</v>
      </c>
      <c r="Y14" s="25">
        <v>-15847</v>
      </c>
      <c r="Z14" s="25"/>
      <c r="AA14" s="25">
        <f t="shared" si="7"/>
        <v>0</v>
      </c>
      <c r="AB14" s="25">
        <v>0</v>
      </c>
      <c r="AC14" s="25">
        <v>0</v>
      </c>
      <c r="AD14" s="32">
        <v>0</v>
      </c>
      <c r="AE14" s="32">
        <v>0</v>
      </c>
      <c r="AF14" s="32">
        <f t="shared" si="10"/>
        <v>0</v>
      </c>
    </row>
    <row r="15" s="1" customFormat="1" ht="62" customHeight="1" spans="1:32">
      <c r="A15" s="14">
        <v>232</v>
      </c>
      <c r="B15" s="19" t="s">
        <v>193</v>
      </c>
      <c r="C15" s="17">
        <f t="shared" si="0"/>
        <v>14500</v>
      </c>
      <c r="D15" s="17">
        <v>9600</v>
      </c>
      <c r="E15" s="17">
        <v>4900</v>
      </c>
      <c r="F15" s="17">
        <v>0</v>
      </c>
      <c r="G15" s="17"/>
      <c r="H15" s="17"/>
      <c r="I15" s="17">
        <f t="shared" si="1"/>
        <v>0</v>
      </c>
      <c r="J15" s="17"/>
      <c r="K15" s="17"/>
      <c r="L15" s="17">
        <f t="shared" si="2"/>
        <v>-3301</v>
      </c>
      <c r="M15" s="17">
        <v>-1839</v>
      </c>
      <c r="N15" s="17">
        <v>-1462</v>
      </c>
      <c r="O15" s="25">
        <f t="shared" si="3"/>
        <v>0</v>
      </c>
      <c r="P15" s="25">
        <v>0</v>
      </c>
      <c r="Q15" s="25">
        <v>0</v>
      </c>
      <c r="R15" s="25">
        <f t="shared" si="4"/>
        <v>0</v>
      </c>
      <c r="S15" s="25">
        <v>0</v>
      </c>
      <c r="T15" s="25">
        <v>0</v>
      </c>
      <c r="U15" s="25">
        <f t="shared" si="5"/>
        <v>0</v>
      </c>
      <c r="V15" s="17">
        <v>0</v>
      </c>
      <c r="W15" s="25">
        <v>0</v>
      </c>
      <c r="X15" s="25">
        <f t="shared" si="6"/>
        <v>0</v>
      </c>
      <c r="Y15" s="25">
        <v>0</v>
      </c>
      <c r="Z15" s="25"/>
      <c r="AA15" s="25">
        <f t="shared" si="7"/>
        <v>0</v>
      </c>
      <c r="AB15" s="25">
        <v>0</v>
      </c>
      <c r="AC15" s="25">
        <v>0</v>
      </c>
      <c r="AD15" s="32">
        <f t="shared" si="8"/>
        <v>11199</v>
      </c>
      <c r="AE15" s="32">
        <f t="shared" si="9"/>
        <v>7761</v>
      </c>
      <c r="AF15" s="32">
        <f t="shared" si="10"/>
        <v>3438</v>
      </c>
    </row>
    <row r="16" s="1" customFormat="1" ht="62" customHeight="1" spans="1:32">
      <c r="A16" s="14">
        <v>233</v>
      </c>
      <c r="B16" s="15" t="s">
        <v>194</v>
      </c>
      <c r="C16" s="17">
        <f t="shared" si="0"/>
        <v>300</v>
      </c>
      <c r="D16" s="17">
        <v>200</v>
      </c>
      <c r="E16" s="17">
        <v>100</v>
      </c>
      <c r="F16" s="17">
        <v>0</v>
      </c>
      <c r="G16" s="17"/>
      <c r="H16" s="17"/>
      <c r="I16" s="17">
        <f t="shared" si="1"/>
        <v>0</v>
      </c>
      <c r="J16" s="17"/>
      <c r="K16" s="17"/>
      <c r="L16" s="17">
        <f t="shared" si="2"/>
        <v>-256</v>
      </c>
      <c r="M16" s="17">
        <v>-156</v>
      </c>
      <c r="N16" s="17">
        <v>-100</v>
      </c>
      <c r="O16" s="25">
        <f t="shared" si="3"/>
        <v>0</v>
      </c>
      <c r="P16" s="25">
        <v>0</v>
      </c>
      <c r="Q16" s="25">
        <v>0</v>
      </c>
      <c r="R16" s="25">
        <f t="shared" si="4"/>
        <v>0</v>
      </c>
      <c r="S16" s="25">
        <v>0</v>
      </c>
      <c r="T16" s="25">
        <v>0</v>
      </c>
      <c r="U16" s="25">
        <f t="shared" si="5"/>
        <v>0</v>
      </c>
      <c r="V16" s="17">
        <v>0</v>
      </c>
      <c r="W16" s="25">
        <v>0</v>
      </c>
      <c r="X16" s="25">
        <f t="shared" si="6"/>
        <v>0</v>
      </c>
      <c r="Y16" s="25">
        <v>0</v>
      </c>
      <c r="Z16" s="25"/>
      <c r="AA16" s="25">
        <f t="shared" si="7"/>
        <v>0</v>
      </c>
      <c r="AB16" s="25">
        <v>0</v>
      </c>
      <c r="AC16" s="25">
        <v>0</v>
      </c>
      <c r="AD16" s="32">
        <f t="shared" si="8"/>
        <v>44</v>
      </c>
      <c r="AE16" s="32">
        <f t="shared" si="9"/>
        <v>44</v>
      </c>
      <c r="AF16" s="32">
        <f t="shared" si="10"/>
        <v>0</v>
      </c>
    </row>
    <row r="17" s="1" customFormat="1" ht="62" customHeight="1" spans="1:32">
      <c r="A17" s="20"/>
      <c r="B17" s="21" t="s">
        <v>186</v>
      </c>
      <c r="C17" s="17">
        <f t="shared" si="0"/>
        <v>1950800.27</v>
      </c>
      <c r="D17" s="17">
        <f t="shared" ref="D17:AC17" si="11">SUM(D5:D16)</f>
        <v>1500000.27</v>
      </c>
      <c r="E17" s="17">
        <f t="shared" si="11"/>
        <v>450800</v>
      </c>
      <c r="F17" s="17">
        <f t="shared" si="11"/>
        <v>0</v>
      </c>
      <c r="G17" s="17">
        <f t="shared" si="11"/>
        <v>0</v>
      </c>
      <c r="H17" s="17">
        <f t="shared" si="11"/>
        <v>0</v>
      </c>
      <c r="I17" s="17">
        <f t="shared" si="11"/>
        <v>55946</v>
      </c>
      <c r="J17" s="17">
        <f t="shared" si="11"/>
        <v>55946</v>
      </c>
      <c r="K17" s="17">
        <f t="shared" si="11"/>
        <v>0</v>
      </c>
      <c r="L17" s="17">
        <f t="shared" si="11"/>
        <v>-1023402</v>
      </c>
      <c r="M17" s="17">
        <f t="shared" si="11"/>
        <v>-927525</v>
      </c>
      <c r="N17" s="17">
        <f t="shared" si="11"/>
        <v>-95877</v>
      </c>
      <c r="O17" s="25">
        <f t="shared" si="11"/>
        <v>0</v>
      </c>
      <c r="P17" s="25">
        <f t="shared" si="11"/>
        <v>0</v>
      </c>
      <c r="Q17" s="25">
        <f t="shared" si="11"/>
        <v>0</v>
      </c>
      <c r="R17" s="25">
        <f t="shared" si="11"/>
        <v>0</v>
      </c>
      <c r="S17" s="25">
        <f t="shared" si="11"/>
        <v>0</v>
      </c>
      <c r="T17" s="25">
        <f t="shared" si="11"/>
        <v>0</v>
      </c>
      <c r="U17" s="25">
        <f t="shared" si="11"/>
        <v>24129</v>
      </c>
      <c r="V17" s="17">
        <f t="shared" si="11"/>
        <v>24129</v>
      </c>
      <c r="W17" s="25">
        <f t="shared" si="11"/>
        <v>0</v>
      </c>
      <c r="X17" s="25">
        <f t="shared" si="11"/>
        <v>0</v>
      </c>
      <c r="Y17" s="25">
        <f t="shared" si="11"/>
        <v>0</v>
      </c>
      <c r="Z17" s="25">
        <f t="shared" si="11"/>
        <v>0</v>
      </c>
      <c r="AA17" s="25">
        <f t="shared" si="11"/>
        <v>0</v>
      </c>
      <c r="AB17" s="25">
        <f t="shared" si="11"/>
        <v>0</v>
      </c>
      <c r="AC17" s="25">
        <f t="shared" si="11"/>
        <v>0</v>
      </c>
      <c r="AD17" s="32">
        <f t="shared" si="8"/>
        <v>1007473.27</v>
      </c>
      <c r="AE17" s="32">
        <f t="shared" si="9"/>
        <v>652550.27</v>
      </c>
      <c r="AF17" s="32">
        <f t="shared" si="10"/>
        <v>354923</v>
      </c>
    </row>
    <row r="18" spans="31:32">
      <c r="AE18" s="3"/>
      <c r="AF18" s="3"/>
    </row>
  </sheetData>
  <mergeCells count="25">
    <mergeCell ref="A1:AF1"/>
    <mergeCell ref="G2:W2"/>
    <mergeCell ref="AD2:AF2"/>
    <mergeCell ref="D3:E3"/>
    <mergeCell ref="G3:H3"/>
    <mergeCell ref="J3:K3"/>
    <mergeCell ref="M3:N3"/>
    <mergeCell ref="P3:Q3"/>
    <mergeCell ref="S3:T3"/>
    <mergeCell ref="V3:W3"/>
    <mergeCell ref="Y3:Z3"/>
    <mergeCell ref="AB3:AC3"/>
    <mergeCell ref="AE3:AF3"/>
    <mergeCell ref="A3:A4"/>
    <mergeCell ref="B3:B4"/>
    <mergeCell ref="C3:C4"/>
    <mergeCell ref="F3:F4"/>
    <mergeCell ref="I3:I4"/>
    <mergeCell ref="L3:L4"/>
    <mergeCell ref="O3:O4"/>
    <mergeCell ref="R3:R4"/>
    <mergeCell ref="U3:U4"/>
    <mergeCell ref="X3:X4"/>
    <mergeCell ref="AA3:AA4"/>
    <mergeCell ref="AD3:AD4"/>
  </mergeCells>
  <pageMargins left="0.700694444444445" right="0.700694444444445" top="0.751388888888889" bottom="0.751388888888889" header="0.298611111111111" footer="0.298611111111111"/>
  <pageSetup paperSize="9" scale="46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附表1收入调整表2021</vt:lpstr>
      <vt:lpstr>附表2财力调整表2021</vt:lpstr>
      <vt:lpstr>附表3公共预算支出调整表</vt:lpstr>
      <vt:lpstr>附表4政府性基金支出调整表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qyh2015</dc:creator>
  <cp:lastModifiedBy>ih</cp:lastModifiedBy>
  <dcterms:created xsi:type="dcterms:W3CDTF">2016-10-31T06:35:00Z</dcterms:created>
  <cp:lastPrinted>2019-11-25T14:45:00Z</cp:lastPrinted>
  <dcterms:modified xsi:type="dcterms:W3CDTF">2023-05-11T13:29:14Z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2052-11.8.2.11019</vt:lpwstr>
  </property>
  <property fmtid="{D5CDD505-2E9C-101B-9397-08002B2CF9AE}" pid="4" name="ICV">
    <vt:lpwstr>4FEE94B650EA46808231164E4AEA9CA2</vt:lpwstr>
  </property>
</Properties>
</file>