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390" tabRatio="853"/>
  </bookViews>
  <sheets>
    <sheet name="附表1收入调整表2023" sheetId="14" r:id="rId1"/>
    <sheet name="附表2财力调整表2023" sheetId="13" r:id="rId2"/>
    <sheet name="附表3公共预算项目调整表" sheetId="17" r:id="rId3"/>
    <sheet name="附表4公共预算支出调整表" sheetId="15" r:id="rId4"/>
    <sheet name="附表5政府性基金项目调整表" sheetId="18" r:id="rId5"/>
    <sheet name="附表6政府性基金支出调整表" sheetId="16" r:id="rId6"/>
    <sheet name="附表72023年地方政府债券资金安排情况表" sheetId="19" r:id="rId7"/>
  </sheets>
  <externalReferences>
    <externalReference r:id="rId8"/>
  </externalReferences>
  <definedNames>
    <definedName name="_xlnm.Print_Titles" localSheetId="0">附表1收入调整表2023!$1:$4</definedName>
    <definedName name="_xlnm.Print_Titles" localSheetId="1">附表2财力调整表2023!$1:$4</definedName>
    <definedName name="_xlnm.Print_Area" localSheetId="0">附表1收入调整表2023!$A$1:$M$60</definedName>
    <definedName name="_xlnm.Print_Area" localSheetId="2">附表3公共预算项目调整表!$A$1:$I$178</definedName>
    <definedName name="_xlnm.Print_Titles" localSheetId="2">附表3公共预算项目调整表!$1:$5</definedName>
    <definedName name="_xlnm.Print_Area" localSheetId="3">附表4公共预算支出调整表!$A$1:$AF$29</definedName>
    <definedName name="_xlnm.Print_Area" localSheetId="4">附表5政府性基金项目调整表!$A$1:$I$230</definedName>
    <definedName name="_xlnm.Print_Titles" localSheetId="4">附表5政府性基金项目调整表!$1:$5</definedName>
    <definedName name="_xlnm.Print_Area" localSheetId="5">附表6政府性基金支出调整表!$A$1:$AF$16</definedName>
    <definedName name="_xlnm.Print_Titles" localSheetId="6">附表72023年地方政府债券资金安排情况表!$1:$3</definedName>
  </definedNames>
  <calcPr calcId="144525"/>
</workbook>
</file>

<file path=xl/comments1.xml><?xml version="1.0" encoding="utf-8"?>
<comments xmlns="http://schemas.openxmlformats.org/spreadsheetml/2006/main">
  <authors>
    <author>ih</author>
  </authors>
  <commentList>
    <comment ref="F58" authorId="0">
      <text>
        <r>
          <rPr>
            <b/>
            <sz val="9"/>
            <rFont val="宋体"/>
            <charset val="134"/>
          </rPr>
          <t>ih:</t>
        </r>
        <r>
          <rPr>
            <sz val="9"/>
            <rFont val="宋体"/>
            <charset val="134"/>
          </rPr>
          <t xml:space="preserve">
体彩1900，福彩600</t>
        </r>
      </text>
    </comment>
  </commentList>
</comments>
</file>

<file path=xl/comments2.xml><?xml version="1.0" encoding="utf-8"?>
<comments xmlns="http://schemas.openxmlformats.org/spreadsheetml/2006/main">
  <authors>
    <author>ih</author>
  </authors>
  <commentList>
    <comment ref="C57" authorId="0">
      <text>
        <r>
          <rPr>
            <b/>
            <sz val="9"/>
            <rFont val="宋体"/>
            <charset val="134"/>
          </rPr>
          <t>ih:</t>
        </r>
        <r>
          <rPr>
            <sz val="9"/>
            <rFont val="宋体"/>
            <charset val="134"/>
          </rPr>
          <t xml:space="preserve">
《关于上划各县（市）区生态环境局相关经费支出基数的通知》（榕财预〔2019〕82号）3514万元</t>
        </r>
      </text>
    </comment>
    <comment ref="F57" authorId="0">
      <text>
        <r>
          <rPr>
            <b/>
            <sz val="9"/>
            <rFont val="宋体"/>
            <charset val="134"/>
          </rPr>
          <t>ih:</t>
        </r>
        <r>
          <rPr>
            <sz val="9"/>
            <rFont val="宋体"/>
            <charset val="134"/>
          </rPr>
          <t xml:space="preserve">
《关于上划各县（市）区生态环境局相关经费支出基数的通知》（榕财预〔2019〕82号）3514万元</t>
        </r>
      </text>
    </comment>
  </commentList>
</comments>
</file>

<file path=xl/comments3.xml><?xml version="1.0" encoding="utf-8"?>
<comments xmlns="http://schemas.openxmlformats.org/spreadsheetml/2006/main">
  <authors>
    <author>null,null,预算经办</author>
  </authors>
  <commentList>
    <comment ref="H14" authorId="0">
      <text>
        <r>
          <rPr>
            <b/>
            <sz val="9"/>
            <rFont val="宋体"/>
            <charset val="134"/>
          </rPr>
          <t>迈新生物、真兰水表、博思软件上解支出。</t>
        </r>
      </text>
    </comment>
  </commentList>
</comments>
</file>

<file path=xl/sharedStrings.xml><?xml version="1.0" encoding="utf-8"?>
<sst xmlns="http://schemas.openxmlformats.org/spreadsheetml/2006/main" count="1087" uniqueCount="640">
  <si>
    <t>附表1：2023年分部门分税种财政收入预算调整情况表</t>
  </si>
  <si>
    <t>编制单位：闽侯县财政局</t>
  </si>
  <si>
    <t>编制日期：2023年12月</t>
  </si>
  <si>
    <t>单位：万元</t>
  </si>
  <si>
    <t>征收部门</t>
  </si>
  <si>
    <t>2023人大年初任务数</t>
  </si>
  <si>
    <t>2023年预计完成数</t>
  </si>
  <si>
    <t>增减额</t>
  </si>
  <si>
    <t>增幅%</t>
  </si>
  <si>
    <t>小计</t>
  </si>
  <si>
    <t>闽侯县</t>
  </si>
  <si>
    <t>高新区</t>
  </si>
  <si>
    <t>一、财政总收入(含基金)</t>
  </si>
  <si>
    <t>（一）一般公共预算总收入</t>
  </si>
  <si>
    <t>1、上划中央收入</t>
  </si>
  <si>
    <t>2、一般公共预算收入</t>
  </si>
  <si>
    <t>（1）税收收入</t>
  </si>
  <si>
    <t>（2）非税收入</t>
  </si>
  <si>
    <t>（二）基金收入</t>
  </si>
  <si>
    <t>二、税务局组织收入</t>
  </si>
  <si>
    <t>（一）增值税</t>
  </si>
  <si>
    <t>其中：国内增值税</t>
  </si>
  <si>
    <t xml:space="preserve">      东南汽车</t>
  </si>
  <si>
    <t xml:space="preserve">      奔驰汽车</t>
  </si>
  <si>
    <t>（二）消费税</t>
  </si>
  <si>
    <t>（三）企业所得税</t>
  </si>
  <si>
    <t>（四）个人所得税</t>
  </si>
  <si>
    <t>（五）资源税</t>
  </si>
  <si>
    <t>（六）城市维护建设税</t>
  </si>
  <si>
    <t>（七）房产税</t>
  </si>
  <si>
    <t>（八）印花税</t>
  </si>
  <si>
    <t>（九）城镇土地使用税</t>
  </si>
  <si>
    <t>（十）土地增值税</t>
  </si>
  <si>
    <t>（十一）车船税</t>
  </si>
  <si>
    <t>（十二）耕地占用税</t>
  </si>
  <si>
    <t>（十三）契税</t>
  </si>
  <si>
    <t>(十四）环境保护税</t>
  </si>
  <si>
    <t>（十五）车辆购置税</t>
  </si>
  <si>
    <t>三、财政局组织收入</t>
  </si>
  <si>
    <t>（一）行政性事业性收费收入</t>
  </si>
  <si>
    <t>（二）罚没收入</t>
  </si>
  <si>
    <t>（三）专项收入</t>
  </si>
  <si>
    <t xml:space="preserve"> 其中： 教育费附加收入</t>
  </si>
  <si>
    <t xml:space="preserve">      残疾人就业保障金收入</t>
  </si>
  <si>
    <t xml:space="preserve">     教育资金收入</t>
  </si>
  <si>
    <t xml:space="preserve">     农田水利建设资金收入</t>
  </si>
  <si>
    <t xml:space="preserve">     森林植被恢复费收入</t>
  </si>
  <si>
    <t xml:space="preserve">     水利建设专项收入</t>
  </si>
  <si>
    <t xml:space="preserve">    其他专项收入</t>
  </si>
  <si>
    <t>（四）国有资本经营收入</t>
  </si>
  <si>
    <t>（五）国有资源（资产）有偿使用收入</t>
  </si>
  <si>
    <t xml:space="preserve"> (六) 捐赠收入</t>
  </si>
  <si>
    <t xml:space="preserve"> (七） 政府住房基金收入</t>
  </si>
  <si>
    <t>（八）其他收入</t>
  </si>
  <si>
    <t>四、其它增值税退税</t>
  </si>
  <si>
    <t>五、基金收入</t>
  </si>
  <si>
    <t>（一）土地基金收入</t>
  </si>
  <si>
    <t xml:space="preserve">    1、国有土地使用权出让收入</t>
  </si>
  <si>
    <t xml:space="preserve">    2、国有土地基金收益收入</t>
  </si>
  <si>
    <t xml:space="preserve">    3、农业土地开发资金收入</t>
  </si>
  <si>
    <t>（二）其他基金收入</t>
  </si>
  <si>
    <t xml:space="preserve">    1、城市基础设施配套费收入</t>
  </si>
  <si>
    <t xml:space="preserve">    2、彩票公益金收入</t>
  </si>
  <si>
    <t>体彩</t>
  </si>
  <si>
    <t xml:space="preserve">    3、污水处理费收入</t>
  </si>
  <si>
    <t xml:space="preserve">    4、专项债务对应项目专项收入</t>
  </si>
  <si>
    <t>附表2：2023年一般公共预算财力情况调整表</t>
  </si>
  <si>
    <t xml:space="preserve">编制单位：闽侯县财政局   </t>
  </si>
  <si>
    <t>项目</t>
  </si>
  <si>
    <t>2023年计划数</t>
  </si>
  <si>
    <t>比年初计划增减数</t>
  </si>
  <si>
    <t>财力性质</t>
  </si>
  <si>
    <t>一、一般公共预算收入</t>
  </si>
  <si>
    <t>二、上级补助收入</t>
  </si>
  <si>
    <t>（一）返还性收入</t>
  </si>
  <si>
    <t xml:space="preserve">   1、增值税和消费税税收返还收入</t>
  </si>
  <si>
    <t>财力</t>
  </si>
  <si>
    <t xml:space="preserve">   2、所得税基数返还收入</t>
  </si>
  <si>
    <t xml:space="preserve">   3、成品油价格和税费改革税收返还收入</t>
  </si>
  <si>
    <t xml:space="preserve">   4、增值税“五五分享”税收返还</t>
  </si>
  <si>
    <t>（二）一般性转移支付补助收入</t>
  </si>
  <si>
    <t>1、体制补助收入</t>
  </si>
  <si>
    <t>-</t>
  </si>
  <si>
    <t>专项</t>
  </si>
  <si>
    <t>2、均衡性转移支付收入</t>
  </si>
  <si>
    <t xml:space="preserve"> （1）调整工资转移支付收入</t>
  </si>
  <si>
    <t xml:space="preserve"> （2）县乡中小学教师津补贴转移支付</t>
  </si>
  <si>
    <t xml:space="preserve"> （3）机关事业单位调整工资和养老保险制度改革转移支付资金</t>
  </si>
  <si>
    <t xml:space="preserve"> （4）农业转移人口市民化奖励资金</t>
  </si>
  <si>
    <t>3、县级基本财力保障机制奖补资金收入</t>
  </si>
  <si>
    <t xml:space="preserve"> （1）原“六挂六奖”补助基数（闽财预［2014］40号）</t>
  </si>
  <si>
    <t xml:space="preserve"> （2）省对市县财政下移财力及加强绩效管理奖励</t>
  </si>
  <si>
    <t>4、结算补助收入</t>
  </si>
  <si>
    <t xml:space="preserve"> （1）县（市）烟草公司收入转移补助</t>
  </si>
  <si>
    <t xml:space="preserve"> （2）公共体育场馆、博物馆、纪念馆等免费开放补助资金</t>
  </si>
  <si>
    <t xml:space="preserve"> （3）提高村主干及两委成员报酬市级补助</t>
  </si>
  <si>
    <t xml:space="preserve"> （4）生态保护转移支付资金(榕财预指201910号)</t>
  </si>
  <si>
    <t xml:space="preserve"> （5）村干部基本报酬保障奖励资金</t>
  </si>
  <si>
    <t xml:space="preserve"> （6）其他结算补助转移支付资金</t>
  </si>
  <si>
    <t>5、革命老区及民族和边境地区转移支付</t>
  </si>
  <si>
    <t>6.贫困地区转移支付收入</t>
  </si>
  <si>
    <t>7、一般公共服务共同财政事权转移支付收入</t>
  </si>
  <si>
    <t>8、公共安全共同财政事权转移支付收入</t>
  </si>
  <si>
    <t>9、教育共同财政事权转移支付收入</t>
  </si>
  <si>
    <t>10、科学技术共同财政事权转移支付收入</t>
  </si>
  <si>
    <t>11、文化旅游体育与传媒共同财政事权转移支付收入</t>
  </si>
  <si>
    <t>12、社会保障和就业共同财政事权转移支付收入</t>
  </si>
  <si>
    <t>13、卫生健康共同财政事权转移支付收入</t>
  </si>
  <si>
    <t>14、节能环保共同财政事权转移支付收入</t>
  </si>
  <si>
    <t>15、农林水共同财政事权转移支付收入</t>
  </si>
  <si>
    <t>16、交通运输共同财政事权转移支付收入</t>
  </si>
  <si>
    <t>17、自然资源海洋气象等共同财政事权转移支付收入</t>
  </si>
  <si>
    <t>18、住房保障共同财政事权转移支付收入</t>
  </si>
  <si>
    <t>19、灾害防治及应急管理共同财政事权转移支付支出</t>
  </si>
  <si>
    <t>20、增值税留抵退税转移支付收入（闽财预指〔2022〕5号、闽财预指〔2022〕17号）</t>
  </si>
  <si>
    <t>21、其他退税减税降费转移支付收入（闽财预指〔2022〕5号、闽财预指〔2022〕9号）</t>
  </si>
  <si>
    <t>22、补充县区转移支付收入（闽财预指〔2022〕9号）</t>
  </si>
  <si>
    <t>23、其他一般性转移支付收入</t>
  </si>
  <si>
    <t xml:space="preserve">      村级组织运转经费</t>
  </si>
  <si>
    <t xml:space="preserve">      生猪调出大县奖励资金</t>
  </si>
  <si>
    <t xml:space="preserve">      农村公益电影场次补贴</t>
  </si>
  <si>
    <t xml:space="preserve">      社区居委会运转补助</t>
  </si>
  <si>
    <t xml:space="preserve">      农村税费改革转移支付</t>
  </si>
  <si>
    <t xml:space="preserve">      国有农场农村税费改革转移支付</t>
  </si>
  <si>
    <t xml:space="preserve">      农村“五大员”、计生协会长、妇代会主任、团支部书记津贴转移支付</t>
  </si>
  <si>
    <t xml:space="preserve">      其他一般性转移支付收入</t>
  </si>
  <si>
    <t>三、上解省市支出</t>
  </si>
  <si>
    <t>（一）体制上解</t>
  </si>
  <si>
    <t>（二）专项上解</t>
  </si>
  <si>
    <t>(1)上解津补贴调节基金</t>
  </si>
  <si>
    <t>(2)福州市对口帮扶困难县</t>
  </si>
  <si>
    <t>(3)重点流域水环境综合整治资金专项上解</t>
  </si>
  <si>
    <t>(4)江河下游对上游地区森林生态效益补偿上解</t>
  </si>
  <si>
    <t>(5)中央、省财政统筹计提农田水利建设资金</t>
  </si>
  <si>
    <t>(6)福州市对口援藏资金（榕财建 2021 137号）</t>
  </si>
  <si>
    <t>(7)上解精准扶贫医疗叠加保险资金</t>
  </si>
  <si>
    <t>(8)福州市对口援疆资金（榕财建2021 142号）</t>
  </si>
  <si>
    <t>(9)农村商信用社企业所得税省级分成部分上解（20%）</t>
  </si>
  <si>
    <t>（10）东南汽车增值税50%地方级部份上解（省37.573%，市8.192%，合计45.765%）</t>
  </si>
  <si>
    <t>（11）部分政法行政性收费和罚没收入上解</t>
  </si>
  <si>
    <t>（12）城市商业银行企业所得税省级分成部分上解</t>
  </si>
  <si>
    <t>（13）上划国防领域相关支出预算（闽财政法【2021】14号）</t>
  </si>
  <si>
    <t>（14）迁入企业税收基数划转</t>
  </si>
  <si>
    <t>（15）税务部门经费基数划转</t>
  </si>
  <si>
    <t>（16）城乡居民基本医疗保险</t>
  </si>
  <si>
    <t>（17）闽江师专办学经费</t>
  </si>
  <si>
    <t>（18）上缴就业调剂金(闽财社〔2022〕40号)</t>
  </si>
  <si>
    <t>（19）可再生能源电价附加增值税返还资金地方扣款（闽财建〔2023〕5号）</t>
  </si>
  <si>
    <t>（20）关于上解2023年衔接推进乡村振兴有关资金的通知（闽财农〔2023〕23号）</t>
  </si>
  <si>
    <t>（21）扣缴2023年农村人居环境整治积分制奖惩激励资金</t>
  </si>
  <si>
    <t>四、债务还本支出</t>
  </si>
  <si>
    <t>五、援助宁夏支出</t>
  </si>
  <si>
    <t>六、调入国有资本预算资金</t>
  </si>
  <si>
    <t>七、动用预算稳定调节基金</t>
  </si>
  <si>
    <t>八、地方政府债券转贷收入及再融资债券</t>
  </si>
  <si>
    <t>九、当年实现财力</t>
  </si>
  <si>
    <t>附表3：2023年公共预算项目调整支出情况表</t>
  </si>
  <si>
    <t>项目编号</t>
  </si>
  <si>
    <t>项 目 内 容</t>
  </si>
  <si>
    <t>2023年          预算数</t>
  </si>
  <si>
    <t>全年预计支出数</t>
  </si>
  <si>
    <t>指标
结余数</t>
  </si>
  <si>
    <t>拟调整
使用指标</t>
  </si>
  <si>
    <t>备注</t>
  </si>
  <si>
    <t>截止11月          已下达数</t>
  </si>
  <si>
    <t>预计至年底    还需下达数</t>
  </si>
  <si>
    <t>合   计</t>
  </si>
  <si>
    <t>一</t>
  </si>
  <si>
    <t>拟调减支出项目小计</t>
  </si>
  <si>
    <t>(一)闽侯县财政局</t>
  </si>
  <si>
    <t>滨江商务中心租赁费</t>
  </si>
  <si>
    <t>滨江商务中心物业费水电费设备维护费房屋修缮费会议中心大院等费</t>
  </si>
  <si>
    <t>“五大投”注册资本金</t>
  </si>
  <si>
    <t>专项业务费（审核费）</t>
  </si>
  <si>
    <t>人才发展基金</t>
  </si>
  <si>
    <t>高清全球眼租金费</t>
  </si>
  <si>
    <t>两所一队用房建设</t>
  </si>
  <si>
    <t>闽侯县局执法办案管理中心</t>
  </si>
  <si>
    <t>学前教育发展经费</t>
  </si>
  <si>
    <t>教学仪器和电化设备购置</t>
  </si>
  <si>
    <t>安全管理经费</t>
  </si>
  <si>
    <t>校园校舍建设资金</t>
  </si>
  <si>
    <t>日常业务管理经费</t>
  </si>
  <si>
    <t>不可移动文物保护管理经费</t>
  </si>
  <si>
    <t>山海协作帮扶资金</t>
  </si>
  <si>
    <t>四绿工程</t>
  </si>
  <si>
    <t>闽江下游防洪岸线（荆溪段）修编调整论证</t>
  </si>
  <si>
    <t>污水处理</t>
  </si>
  <si>
    <t>园区工作经费</t>
  </si>
  <si>
    <t>青口投资区道路保洁和绿化养护二合一</t>
  </si>
  <si>
    <t>东南汽车城环卫一体化项目</t>
  </si>
  <si>
    <t>县生活垃圾转运处置及中转站运营提升改造费</t>
  </si>
  <si>
    <t>建筑企业扶持奖励金</t>
  </si>
  <si>
    <t>2023年度上街片区市政养护经费</t>
  </si>
  <si>
    <t>市政日常维护经费</t>
  </si>
  <si>
    <t>规划设计等项目</t>
  </si>
  <si>
    <t>不动产网络安全等级保护三级、闽侯县宅基地和集体建设用地使用权确权登记技术服务等项目</t>
  </si>
  <si>
    <t>中小企业优惠政策补助</t>
  </si>
  <si>
    <t>公交客运</t>
  </si>
  <si>
    <t>科技治超</t>
  </si>
  <si>
    <t>外经贸企业补贴</t>
  </si>
  <si>
    <t>产业奖励政策资金</t>
  </si>
  <si>
    <t>兑现《闽侯县鼓励科技创新政策（暂行）》奖励经费</t>
  </si>
  <si>
    <t>企业研发投入分段补助</t>
  </si>
  <si>
    <t>粮食风险基金</t>
  </si>
  <si>
    <t>城乡居民基本医疗保险补助</t>
  </si>
  <si>
    <t>城乡医疗救助</t>
  </si>
  <si>
    <t>闽侯县鼓励高校毕业生来县留县就业创业七条措施相关补贴</t>
  </si>
  <si>
    <t>闽侯县企业用工劳务对接专项服务经费</t>
  </si>
  <si>
    <t>县级就业专项资金补助</t>
  </si>
  <si>
    <t>机关事业单位养老保险基金补助</t>
  </si>
  <si>
    <t>城乡居民社会养老保险基金补助</t>
  </si>
  <si>
    <t>代管退休人员及遗属生活补贴、工作经费、死亡抚恤等</t>
  </si>
  <si>
    <t>居家养老购买服务</t>
  </si>
  <si>
    <t xml:space="preserve">80周岁以上老人生活补助 </t>
  </si>
  <si>
    <t>民政对象物价补贴</t>
  </si>
  <si>
    <t>民政对象两节补贴</t>
  </si>
  <si>
    <t>农村、城镇三无及特困人员生活保障金</t>
  </si>
  <si>
    <t>农村及城镇重度残疾人生活补贴</t>
  </si>
  <si>
    <t>农村最低生活保障及高龄补贴</t>
  </si>
  <si>
    <t>农村计生新农合补助</t>
  </si>
  <si>
    <t>基层医疗卫生基本药物补助</t>
  </si>
  <si>
    <t>基本公共卫生服务</t>
  </si>
  <si>
    <t>新冠疫情防控专项资金</t>
  </si>
  <si>
    <t>计生奖扶补助</t>
  </si>
  <si>
    <t>卫健系统修缮</t>
  </si>
  <si>
    <t>卫健系统设备</t>
  </si>
  <si>
    <t>卫健系统设备(2022年采购及质保金）</t>
  </si>
  <si>
    <t>卫健系统以前年度设备款</t>
  </si>
  <si>
    <t>五位一体环卫项目</t>
  </si>
  <si>
    <t>其他项目支出</t>
  </si>
  <si>
    <t>（二）福州市高新区财政局</t>
  </si>
  <si>
    <t>福州高新技术产业开发区经济发展局-创新馆项目布展建设费用</t>
  </si>
  <si>
    <t>福州高新技术产业开发区自然资源和规划局-中溪村农村生活污水提升治理项目</t>
  </si>
  <si>
    <t>福州高新技术产业开发区市政管理服务中心-市政日常养护经费</t>
  </si>
  <si>
    <t>福州高新技术产业开发区市政管理服务中心-环卫保洁服务经费</t>
  </si>
  <si>
    <t>金融发展专项</t>
  </si>
  <si>
    <t>城乡居民基本养老保险财政补助</t>
  </si>
  <si>
    <t>海西园征迁建设指挥部房屋征收工作经费</t>
  </si>
  <si>
    <t>社会保障结算预留</t>
  </si>
  <si>
    <t>一般公共预算综合预留</t>
  </si>
  <si>
    <t>二</t>
  </si>
  <si>
    <t>拟调增支出项目小计</t>
  </si>
  <si>
    <t>甘蔗街道五福村和化龙村安置型商品房回购款</t>
  </si>
  <si>
    <t>福州市轨道交通5号线塔前停车场上盖开发平台建设项目建设资金</t>
  </si>
  <si>
    <t>青口东台工业园房屋征收补偿款</t>
  </si>
  <si>
    <t>上街镇青洲安置型商品房二期回购款</t>
  </si>
  <si>
    <t>青口镇旧改项目征迁补偿款</t>
  </si>
  <si>
    <t>乡村振兴战略项目经费</t>
  </si>
  <si>
    <t>征地补偿款</t>
  </si>
  <si>
    <t>异地购买耕地指标</t>
  </si>
  <si>
    <t>旗山湖周边片区岐头村旧改项目征迁补偿款</t>
  </si>
  <si>
    <t>侯官人工智能小镇Ａ、Ｂ地块项目征迁补偿资金</t>
  </si>
  <si>
    <t>美岐村征地补偿款</t>
  </si>
  <si>
    <t>美岐村房屋征收过渡费专项资金</t>
  </si>
  <si>
    <t>荆溪镇外福（峰福）铁路北侧民房安置补助</t>
  </si>
  <si>
    <t>荆甘一体化及旧改项目</t>
  </si>
  <si>
    <t>荆溪镇高排渠出口段工程</t>
  </si>
  <si>
    <t>旧城改造临时安置补偿费（二期、三期）</t>
  </si>
  <si>
    <t>安置房项目</t>
  </si>
  <si>
    <t>安置型商品房回购款</t>
  </si>
  <si>
    <t>地铁5号线上盖收储项目</t>
  </si>
  <si>
    <t>非国有工业企业收购</t>
  </si>
  <si>
    <t>福州地区大学新校区旗山湖工程</t>
  </si>
  <si>
    <t>23年住宅、商业店面、车库回购款</t>
  </si>
  <si>
    <t>上街镇东南科学城科创中心收储价款</t>
  </si>
  <si>
    <t>南通B1地块出让剩余分成款</t>
  </si>
  <si>
    <t>荆溪镇项目拆迁旧房屋补偿款</t>
  </si>
  <si>
    <t>溪下安置房</t>
  </si>
  <si>
    <t>安置型商品房回购商业房产回购款</t>
  </si>
  <si>
    <t>甘蔗旧改（荆甘一体化）</t>
  </si>
  <si>
    <t>上街镇项目2023年房屋征收过渡费</t>
  </si>
  <si>
    <t>地铁2号线上盖收储项目</t>
  </si>
  <si>
    <t>荆溪镇拟收储项目</t>
  </si>
  <si>
    <t>旧城改造三期临时安置补助费</t>
  </si>
  <si>
    <t>福州地区大学新校区防洪排涝体系溪源泄洪洞工程</t>
  </si>
  <si>
    <t>福州市闽江下游南岸防洪六期工程</t>
  </si>
  <si>
    <t>竹岐中学扩建</t>
  </si>
  <si>
    <t>闽侯四中新建实验楼、体艺馆</t>
  </si>
  <si>
    <t>上街镇侯官大道工程</t>
  </si>
  <si>
    <t>罗洲南路一期（三联溪一期）道路工程</t>
  </si>
  <si>
    <t xml:space="preserve">南通镇通洲路（二期）道路工程 </t>
  </si>
  <si>
    <t>北环路二期道路工程</t>
  </si>
  <si>
    <t>源通西路（国宾大道一源江路）及广贤路改造工程</t>
  </si>
  <si>
    <t>青口宏屿小学综合楼及附属工程建设</t>
  </si>
  <si>
    <t>（二）福州市高新区</t>
  </si>
  <si>
    <t>核酸检测费</t>
  </si>
  <si>
    <t>2023年基本公共卫生服务项目补助资金</t>
  </si>
  <si>
    <t>2023-2024秋季政府购买普惠性幼儿园、登记类（二类）事业公办幼儿园专项补助资金</t>
  </si>
  <si>
    <t>科技成果转化推进经费</t>
  </si>
  <si>
    <t>新冠肺炎疫情防控专项经费（核酸检测）</t>
  </si>
  <si>
    <t>新药创制中心大楼（新南）</t>
  </si>
  <si>
    <t>新药创制中心大楼税费</t>
  </si>
  <si>
    <t>南屿镇商业用房回购款</t>
  </si>
  <si>
    <t>村镇办商贸综合用房回购款</t>
  </si>
  <si>
    <t>福建宏盛建设集团有限公司2021年度税收奖励资金</t>
  </si>
  <si>
    <t>上缴闽江师专二期（含马保中小学）项目工程款</t>
  </si>
  <si>
    <t>上解2023年第一批城乡居民基本医疗保险县（市）区财政补助资金</t>
  </si>
  <si>
    <t>招商优惠补贴（弘光专项扶持奖励）</t>
  </si>
  <si>
    <t>追加疫情防控专项经费</t>
  </si>
  <si>
    <t>国资公司转让新药创制中心税费项目注资</t>
  </si>
  <si>
    <t>国资公司购买大学新校区公共租赁房建设项目注资</t>
  </si>
  <si>
    <t>福州融普投资有限公司金融扶持资金</t>
  </si>
  <si>
    <t>疫情防控专项经费-4</t>
  </si>
  <si>
    <t>结算2020年-2021年度我区应承担公交企业成本规制补贴</t>
  </si>
  <si>
    <t>宏盛集团及其相关联企业2022年地方贡献奖励</t>
  </si>
  <si>
    <t>海峡金控注册资本金（产业发展投资基金-中科芯源项目）</t>
  </si>
  <si>
    <t>区税务局申请人员经费补助</t>
  </si>
  <si>
    <t>海峡金控注册资本金</t>
  </si>
  <si>
    <t>城乡居民养老保险财政补助资金</t>
  </si>
  <si>
    <t>上解2022年度福州市城乡居民医保基金财政补亏资金</t>
  </si>
  <si>
    <t>2022年福州市居民医疗保险基金补亏</t>
  </si>
  <si>
    <t>2022年机关事业单位养老保险基金 区级负担部分结算</t>
  </si>
  <si>
    <t>上解2021年7月1日-2022年6月30日新冠病毒疫苗及接种费用县级财政补助资金</t>
  </si>
  <si>
    <t>上解2023年第二批城乡居民基本医疗保险县（市）区财政补助资金</t>
  </si>
  <si>
    <t>建平中学</t>
  </si>
  <si>
    <t>闽侯县第三中学二期项目</t>
  </si>
  <si>
    <t>乌龙江大区小学</t>
  </si>
  <si>
    <t>两园中心小学</t>
  </si>
  <si>
    <t>新洲村成片开发项目二片区项目</t>
  </si>
  <si>
    <t>新洲村成片开发项目三片区二期项目</t>
  </si>
  <si>
    <t>3号路改线</t>
  </si>
  <si>
    <t>高岐安置地</t>
  </si>
  <si>
    <t>流洲安置房扩增项目</t>
  </si>
  <si>
    <t>苏尧溪项目征地款项补差</t>
  </si>
  <si>
    <t>国贸学原二期租赁住房回购（宗地榕高新2020-04号地块）（国资）</t>
  </si>
  <si>
    <t>国贸学原二期住宅回购安置住宅（宗地榕高新2020-04号地块）（国资）</t>
  </si>
  <si>
    <t>中梁百悦城住宅回购（宗地榕高新2019-04号地块）（国资）</t>
  </si>
  <si>
    <t>购买指标费用（发展性）</t>
  </si>
  <si>
    <t>海西园高新二路道路工程(高投）</t>
  </si>
  <si>
    <t>高新技术企业补助</t>
  </si>
  <si>
    <t>附表4：2023年公共财政预算支出调整情况表</t>
  </si>
  <si>
    <t>类编码</t>
  </si>
  <si>
    <t>类科目</t>
  </si>
  <si>
    <t>年初         预算数</t>
  </si>
  <si>
    <t>其中</t>
  </si>
  <si>
    <t>转移支付计入财力调整</t>
  </si>
  <si>
    <t>动用        预备费</t>
  </si>
  <si>
    <t>超短收安排</t>
  </si>
  <si>
    <t>调入基金</t>
  </si>
  <si>
    <t>调入稳定调节基金</t>
  </si>
  <si>
    <t>地方政府债券转贷资金</t>
  </si>
  <si>
    <t>外债转贷资金</t>
  </si>
  <si>
    <t>科目调剂</t>
  </si>
  <si>
    <t>调整后   支出数</t>
  </si>
  <si>
    <t>一般公共服务</t>
  </si>
  <si>
    <t>国防</t>
  </si>
  <si>
    <t>公共安全</t>
  </si>
  <si>
    <t>教育</t>
  </si>
  <si>
    <t>科学技术</t>
  </si>
  <si>
    <t>文化体育与传媒</t>
  </si>
  <si>
    <t>社会保障和就业</t>
  </si>
  <si>
    <t>卫生健康支出</t>
  </si>
  <si>
    <t>节能环保</t>
  </si>
  <si>
    <t>城乡社区事务</t>
  </si>
  <si>
    <t>农林水事务</t>
  </si>
  <si>
    <t>交通运输</t>
  </si>
  <si>
    <t>资源勘探信息等</t>
  </si>
  <si>
    <t>商业服务业等</t>
  </si>
  <si>
    <t>金融支出</t>
  </si>
  <si>
    <t>援助其他地区</t>
  </si>
  <si>
    <t>自然资源海洋气象等</t>
  </si>
  <si>
    <t>住房保障</t>
  </si>
  <si>
    <t>粮油物资储备</t>
  </si>
  <si>
    <t>灾害防治及应急管理</t>
  </si>
  <si>
    <t>预备费</t>
  </si>
  <si>
    <t>债务付息</t>
  </si>
  <si>
    <t>其他支出</t>
  </si>
  <si>
    <t>债务发行费用</t>
  </si>
  <si>
    <t>省市</t>
  </si>
  <si>
    <t>附表5：2023年政府性基金预算项目调整支出情况表</t>
  </si>
  <si>
    <t>(一)闽侯县</t>
  </si>
  <si>
    <t>白沙消防站</t>
  </si>
  <si>
    <t>上街交警大队机动中队技术用房建设项目</t>
  </si>
  <si>
    <t>县级农业基础设施建设项目经费</t>
  </si>
  <si>
    <t>小型水利工程除险加固项目资金</t>
  </si>
  <si>
    <t>冬春水利建设资金</t>
  </si>
  <si>
    <t>淘江防洪五期工程</t>
  </si>
  <si>
    <t>荆溪小流域整治工程</t>
  </si>
  <si>
    <t>2019年、2020年美丽乡村市县建设任务资金</t>
  </si>
  <si>
    <t>2022年闽侯县排水设施维护费用（含审核费）</t>
  </si>
  <si>
    <t>2023年生活污水和污泥处置费（含农村污水评估费）</t>
  </si>
  <si>
    <t>福州大学旗山校区学府北路机动车下穿地道工程项目</t>
  </si>
  <si>
    <t>溪源江（榕桥水闸-广贤桥）段污水排放整治工程</t>
  </si>
  <si>
    <t>地铁5号线荆溪新城站道路永久性恢复工程</t>
  </si>
  <si>
    <t>闽侯县乌龙江大道（上街段）工程</t>
  </si>
  <si>
    <t>旧城区部分主次干道白改黑提升改造工程</t>
  </si>
  <si>
    <t>安平浦流域综合整治工程</t>
  </si>
  <si>
    <t>报批费用</t>
  </si>
  <si>
    <t>新增耕地奖励</t>
  </si>
  <si>
    <t>农村公路养护</t>
  </si>
  <si>
    <t>农村公路建设</t>
  </si>
  <si>
    <t>卫健系统基建（公共及债券资金）</t>
  </si>
  <si>
    <t>闽侯县白沙镇中心卫生院新院建设（县级补助）</t>
  </si>
  <si>
    <t>白沙全域旅游项目</t>
  </si>
  <si>
    <t>徐家村古村落风貌区启动区</t>
  </si>
  <si>
    <t>富闽友谊广场项目协作建设资金</t>
  </si>
  <si>
    <t>南通镇南港大道污水管网工程</t>
  </si>
  <si>
    <t>闽侯县排水设施管养项目</t>
  </si>
  <si>
    <t>竹岐乡污水处理厂及配套管网工程</t>
  </si>
  <si>
    <t>闽侯县竹岐新区江滨路道路工程</t>
  </si>
  <si>
    <t>闽侯县竹岐新区江滨路道路工程（地铁段）</t>
  </si>
  <si>
    <t>历年拆迁过渡费</t>
  </si>
  <si>
    <t>上街镇拟收储项目</t>
  </si>
  <si>
    <t>南通镇拟收储项目</t>
  </si>
  <si>
    <t>青口镇拟收储项目</t>
  </si>
  <si>
    <t>福州大世界橄榄有限公司收购款</t>
  </si>
  <si>
    <t>福州艾密克汽车配件有限公司收购款</t>
  </si>
  <si>
    <t>上街候官大道</t>
  </si>
  <si>
    <t>闽侯二桥工程</t>
  </si>
  <si>
    <t>林森大道（二期）道路工程（青口段）</t>
  </si>
  <si>
    <t>南通文山至祥谦兰圃村段道路拓宽改造工程</t>
  </si>
  <si>
    <t>上街旗山湖市政道路和景观桥梁</t>
  </si>
  <si>
    <t>闽侯二桥配套路网工程（滨河北路）</t>
  </si>
  <si>
    <t>闽侯二桥（南互通）工程</t>
  </si>
  <si>
    <t>县城公交场站项目</t>
  </si>
  <si>
    <t>福建省省委党校周边配套道路工程</t>
  </si>
  <si>
    <t>福银高速公路沙堤互通</t>
  </si>
  <si>
    <t>新南港大桥合同段</t>
  </si>
  <si>
    <t>青口小城镇EPC项目</t>
  </si>
  <si>
    <t>滨溪路</t>
  </si>
  <si>
    <t>荆溪光明谷路道路工程</t>
  </si>
  <si>
    <t>新城中路</t>
  </si>
  <si>
    <t>荆溪光明路道路工程</t>
  </si>
  <si>
    <t>2023年房屋征收过渡费专项资金</t>
  </si>
  <si>
    <t>闽侯县城旧城改造项目征迁补偿费（旧改一、二、三期安置补助费及旧改三期征迁补偿款）</t>
  </si>
  <si>
    <t>旧城改造一期建设资金</t>
  </si>
  <si>
    <t>县委党校行政学校新校区</t>
  </si>
  <si>
    <t>青口道路改造工程</t>
  </si>
  <si>
    <t>福州大学城学府南路城市品质提升工程</t>
  </si>
  <si>
    <t>人居环境提升工程</t>
  </si>
  <si>
    <t>尚干镇村庄污水接驳管网四期项目</t>
  </si>
  <si>
    <t>青口汽车工业区校园路道路工程</t>
  </si>
  <si>
    <t>盛洲路二期</t>
  </si>
  <si>
    <t>通洲路二期</t>
  </si>
  <si>
    <t>南港大道拓宽工程</t>
  </si>
  <si>
    <t>西环路</t>
  </si>
  <si>
    <t>北环路二期</t>
  </si>
  <si>
    <t>罗洲南路一期（三联溪一期）工程</t>
  </si>
  <si>
    <t>新南港大道</t>
  </si>
  <si>
    <t>商贸大道二期</t>
  </si>
  <si>
    <t>中科农业福建中心项目拆迁补偿款</t>
  </si>
  <si>
    <t>生产生活留用地商业店面回购</t>
  </si>
  <si>
    <t>大学城片区过渡性污水分散处理设施建设工程</t>
  </si>
  <si>
    <t>邱阳河左侧道路工程</t>
  </si>
  <si>
    <t>闽侯县重要景观线路综合提升项目</t>
  </si>
  <si>
    <t>省委党校配套路网等项目房屋征收过渡费</t>
  </si>
  <si>
    <t>上街镇岐头村旗山森林防火通道项目</t>
  </si>
  <si>
    <t>上街片区环卫一体化项目</t>
  </si>
  <si>
    <t>征迁类项目</t>
  </si>
  <si>
    <t>114县道（316国道至官路段）白改黑工程</t>
  </si>
  <si>
    <t>鸿尾乡榜上溪西侧土地成片开发征地拆迁补偿款</t>
  </si>
  <si>
    <t>鸿尾产业园项目征地生产生活留用地</t>
  </si>
  <si>
    <t>鸿尾乡安置房项目征地拆迁补偿款</t>
  </si>
  <si>
    <t>荆溪镇征迁类项目</t>
  </si>
  <si>
    <t>新城中路滨江连接段道路项目</t>
  </si>
  <si>
    <t>龙山路（桃田段）道路工程</t>
  </si>
  <si>
    <t>荆溪新城溪下片区排水渠项目</t>
  </si>
  <si>
    <t>闽侯县新一轮城市品质提升全面提升工作方案（荆溪标段）</t>
  </si>
  <si>
    <t>荆溪市政经费</t>
  </si>
  <si>
    <t>甘蔗三福社区改造工程</t>
  </si>
  <si>
    <t>城关污水厂应急扩建工程</t>
  </si>
  <si>
    <t>克姆湖周边地块征迁改造项目</t>
  </si>
  <si>
    <t>白沙镇林柄至大目溪农村公路提升改造工程</t>
  </si>
  <si>
    <t>闽侯经济技术开发区白沙园二期市政路网（南侧）工程项目</t>
  </si>
  <si>
    <t>白沙镇海丝时尚居艺小镇道路工程（一期）项目</t>
  </si>
  <si>
    <t>京台高速公路（闽侯洋里段）生产生活留用地统筹金</t>
  </si>
  <si>
    <t>南屿镇融侨双龙安置房建设资金</t>
  </si>
  <si>
    <t>计提被征地农民保障金</t>
  </si>
  <si>
    <t>其他政府性基金支出</t>
  </si>
  <si>
    <t>碧桂园铂悦府项目住宅回购（宗地榕高新2017-02号地块）（国资）</t>
  </si>
  <si>
    <t>福建师范大学协和学院东侧学府南路机动车下穿地道工程</t>
  </si>
  <si>
    <t>福州市新一轮城市品质提升工程第1标段(高投）</t>
  </si>
  <si>
    <t>福晟印江南（宗地榕高新2017-01号地块）（国资）</t>
  </si>
  <si>
    <t>高岐路(高投）</t>
  </si>
  <si>
    <t>葛岐群升安置房（高投）</t>
  </si>
  <si>
    <t>*</t>
  </si>
  <si>
    <t>海西园福州新一轮品质提升工程（第2标段）（高投）</t>
  </si>
  <si>
    <t>锦溪路（高投）</t>
  </si>
  <si>
    <t>两园1#、2#、6#路太阳能路灯改造工程(新南）</t>
  </si>
  <si>
    <t>两园安置房一期（新南）</t>
  </si>
  <si>
    <t>两园江滨路(新南）</t>
  </si>
  <si>
    <t>南屿片区旗山五都大道A标段道路工程（南屿镇）</t>
  </si>
  <si>
    <t>南屿镇集镇区生活污水治理市化项目（南屿镇）</t>
  </si>
  <si>
    <t>浦上路（学院路至117县道段）（高投）</t>
  </si>
  <si>
    <t>旗山大道景观提升工程一期（橘园洲至学园路）（高投）</t>
  </si>
  <si>
    <t>旗山大道污水给水管网工程一期(高投）</t>
  </si>
  <si>
    <t>三迪雅颂枫丹商贸用房回购（宗地榕高新2019-07号地块）（国资）</t>
  </si>
  <si>
    <t>世茂璀璨江山项目住宅回购（宗地榕高新2018-02号地块）(国资）</t>
  </si>
  <si>
    <t>一楼一中心（宗地榕高新2022-04号地块回购商务用房及地下室）（国资）</t>
  </si>
  <si>
    <t>榕耀花园（宗地榕高新2022-02号地块）（国资）</t>
  </si>
  <si>
    <t>两园排涝工程（新南）</t>
  </si>
  <si>
    <t>农转用报批费（基本业务费）</t>
  </si>
  <si>
    <t>置换债券付息预留</t>
  </si>
  <si>
    <t>海西园新马花园住宅回购款</t>
  </si>
  <si>
    <t>南屿镇建设指挥部房屋征迁补偿款</t>
  </si>
  <si>
    <t>海西园征迁建设指挥部房屋征收补偿款</t>
  </si>
  <si>
    <t>征地补偿费用（土储）</t>
  </si>
  <si>
    <t>教卫局居家养老照料中心</t>
  </si>
  <si>
    <t>统筹收回零星项目预算</t>
  </si>
  <si>
    <t>闽侯县医院新病房大楼建设项目</t>
  </si>
  <si>
    <t>青口东南汽车城园区水环境配套工程一期</t>
  </si>
  <si>
    <t>闽侯县七里实验学校建设项目</t>
  </si>
  <si>
    <t>闽侯四中新建实验楼、体艺楼等项目</t>
  </si>
  <si>
    <t>汽车城青圃产业园区基础设施及配套附属项目</t>
  </si>
  <si>
    <t>洽浦河停车场</t>
  </si>
  <si>
    <t>县委党校行政学校新校区项目（施工）工程款</t>
  </si>
  <si>
    <t>荆溪镇新城中路停车位建设项目</t>
  </si>
  <si>
    <t>明德路（学府南路-广兴路段）改造工程（施工)工程款</t>
  </si>
  <si>
    <t>青口镇市政路网工程一期（施工）工程款</t>
  </si>
  <si>
    <t>“十里烟火学生水街”项目停车场</t>
  </si>
  <si>
    <t>闽侯县储备粮中心库扩建项目</t>
  </si>
  <si>
    <t>竹岐乡、鸿尾乡供水工程项目</t>
  </si>
  <si>
    <t>福州至长乐机场城际铁路（F1线）</t>
  </si>
  <si>
    <t>闽侯县智慧城市建设项目（一期）</t>
  </si>
  <si>
    <t>闽侯县2023年幼儿园工程包</t>
  </si>
  <si>
    <t>“两所一队”项目</t>
  </si>
  <si>
    <t>上街片区排水系统提升改造项目</t>
  </si>
  <si>
    <t>南通镇商贸大道（二期）道路工程</t>
  </si>
  <si>
    <t>南通镇通洲路（二期）道路工程</t>
  </si>
  <si>
    <t>南通镇生活污水治理项目</t>
  </si>
  <si>
    <t>南通镇北环路（二期）道路工程</t>
  </si>
  <si>
    <t>闽侯县南通镇南港大道道路工程</t>
  </si>
  <si>
    <t>南通镇罗洲南路（一期）道路工程（含三联溪一期）</t>
  </si>
  <si>
    <t>南通镇西环路道路工程</t>
  </si>
  <si>
    <t>闽侯县青少年校外活动中心</t>
  </si>
  <si>
    <t>福州港口后方铁路通道杜坞至樟林至透堡段</t>
  </si>
  <si>
    <t>汽车城奔驰产业园区基础设施及配套附属项目</t>
  </si>
  <si>
    <t>榕洲花园</t>
  </si>
  <si>
    <t>“雪亮工程”二期</t>
  </si>
  <si>
    <t>闽侯县农村公路建设</t>
  </si>
  <si>
    <t>南通镇应急水厂项目</t>
  </si>
  <si>
    <t>闽侯县城区应急备用水源</t>
  </si>
  <si>
    <t>南通镇古城村抗旱救灾应急供水工程</t>
  </si>
  <si>
    <t>闽侯青口汽车城东台工业园项目</t>
  </si>
  <si>
    <t>闽侯青口汽车城兰圃产业园项目</t>
  </si>
  <si>
    <t>闽侯汽车城七里产业园项目</t>
  </si>
  <si>
    <t>闽侯县荆溪镇水系水质提升（污水管网）工程</t>
  </si>
  <si>
    <t>竹岐新区6号路、7号路一期道路工程</t>
  </si>
  <si>
    <t>县道112线铁岭至关中段公路提级改造工程</t>
  </si>
  <si>
    <t>闽侯南通文山至祥谦兰圃村段道路拓宽改造工程</t>
  </si>
  <si>
    <t>马保国屿老旧小区改造工程项目（新南）</t>
  </si>
  <si>
    <t>村镇办辖区主干道沿街店面门楣广告位改造项目（村镇办）</t>
  </si>
  <si>
    <t>117县道道路绿化提升（南港大桥-广贤路）工程项目（新南）</t>
  </si>
  <si>
    <t>申请追加福州市闽江下游的请示南岸防洪二期工程（南屿、六十份洲段）江口水闸项目进度款</t>
  </si>
  <si>
    <t>申请追加宜美河道堵点清理工程施工费</t>
  </si>
  <si>
    <t>申请追加柳江桥涵洞拆除及新建临时钢便桥工程第一次经费</t>
  </si>
  <si>
    <t>被征地农民保障金</t>
  </si>
  <si>
    <t>建平村旧改项目房屋征收补偿款</t>
  </si>
  <si>
    <t>缴交被征地农民养老保障金（两园南LYN-B-25项目）</t>
  </si>
  <si>
    <t>新洲村成片开发项目一片区一期项目房屋征收补偿款</t>
  </si>
  <si>
    <t>新洲成片开发项目二片区房屋征收补偿款</t>
  </si>
  <si>
    <t>新洲成片开发红线外项目二片区房屋征收补偿款</t>
  </si>
  <si>
    <t>新洲村成片开发红线外项目一片区二期房屋征收补偿款</t>
  </si>
  <si>
    <t>建城公司2023年下半年房屋征收临时安置补助费</t>
  </si>
  <si>
    <t>高新区智慧产业园及基础配套设施建设</t>
  </si>
  <si>
    <t>福州市生物医药和机电产业园区2号路延伸段道路工程项目</t>
  </si>
  <si>
    <t>福州市生物医药和机电产业园区9号路道路工程项目</t>
  </si>
  <si>
    <t>福州两园安置房二期（南港花园）</t>
  </si>
  <si>
    <t>福州市生物医药和机电产业园区3号路道路工程项目</t>
  </si>
  <si>
    <t>高新区综合智能产业园及基础设施配套建设</t>
  </si>
  <si>
    <t>福州市生物医药和机电产业园区4号路道路工程项目</t>
  </si>
  <si>
    <t>两园高标准数字产业园及基础设施配套建设</t>
  </si>
  <si>
    <t>海西高新技术产业园安置房一期（一期安置房C区）</t>
  </si>
  <si>
    <t>海峡柔性实验室配套基础设施建设</t>
  </si>
  <si>
    <t>福州高新区光电产业基地C区</t>
  </si>
  <si>
    <t>福州高新区光电产业基地D区</t>
  </si>
  <si>
    <t>第三代半导体数字产业园项目</t>
  </si>
  <si>
    <t>创新园四期及相关基础配套设施建设项目</t>
  </si>
  <si>
    <t>福州高新区综合医院（一期）</t>
  </si>
  <si>
    <t>附表6：2023年政府性基金预算支出调整情况表</t>
  </si>
  <si>
    <t>动用上年结余</t>
  </si>
  <si>
    <t>调出基金</t>
  </si>
  <si>
    <t>上解支出</t>
  </si>
  <si>
    <t>社会保障和就业支出</t>
  </si>
  <si>
    <t>资源勘探信息等支出</t>
  </si>
  <si>
    <t>债务付息支出</t>
  </si>
  <si>
    <t>债务发行费用支出</t>
  </si>
  <si>
    <t>附表7：2023年地方政府债券资金安排情况表</t>
  </si>
  <si>
    <t>序号</t>
  </si>
  <si>
    <t>项目单位</t>
  </si>
  <si>
    <t>项目名称</t>
  </si>
  <si>
    <t>2023年新增债券资金额度</t>
  </si>
  <si>
    <t>调整金额</t>
  </si>
  <si>
    <t>调整后实际新增债券资金额度</t>
  </si>
  <si>
    <t>闽侯县振兴-乡村集团有限公司</t>
  </si>
  <si>
    <t>福州市首邑交通建设投资有限责任公司</t>
  </si>
  <si>
    <t>闽侯县教育局</t>
  </si>
  <si>
    <t>闽侯县南通镇人民政府</t>
  </si>
  <si>
    <t>一般债券合计</t>
  </si>
  <si>
    <t>闽侯县医院</t>
  </si>
  <si>
    <t>闽侯青口汽车工业园区管委会</t>
  </si>
  <si>
    <t>从青口东南汽车城园区水环境配套工程一期项目调入121万元。</t>
  </si>
  <si>
    <t>从青口东南汽车城园区水环境配套工程一期项目调入3491万元。</t>
  </si>
  <si>
    <t>从青口东南汽车城园区水环境配套工程一期项目调入1979万元。</t>
  </si>
  <si>
    <t>闽侯县建设投资集团有限公司</t>
  </si>
  <si>
    <t>从汽车城青圃产业园区基础设施及配套附属项目调入200万元。</t>
  </si>
  <si>
    <t>从汽车城青圃产业园区基础设施及配套附属项目调入1662万元。</t>
  </si>
  <si>
    <t>从汽车城青圃产业园区基础设施及配套附属项目调入150万元。</t>
  </si>
  <si>
    <t>从汽车城青圃产业园区基础设施及配套附属项目调入750万元。</t>
  </si>
  <si>
    <t>从汽车城青圃产业园区基础设施及配套附属项目调入883万元。</t>
  </si>
  <si>
    <t>从汽车城青圃产业园区基础设施及配套附属项目调入88万元。，从汽车城奔驰产业园区基础设施及配套附属项目调入862万元。</t>
  </si>
  <si>
    <t>闽侯县自来水公司</t>
  </si>
  <si>
    <t>福州地铁集团有限公司</t>
  </si>
  <si>
    <t>闽侯县发改局</t>
  </si>
  <si>
    <t>闽侯县公安局</t>
  </si>
  <si>
    <t>闽侯县上街镇人民政府</t>
  </si>
  <si>
    <t>从闽侯县2023年幼儿园工程包调入2500万元。</t>
  </si>
  <si>
    <t>从上街片区排水系统提升改造项目调入1974万元。</t>
  </si>
  <si>
    <t>闽侯县住建局</t>
  </si>
  <si>
    <t>从上街片区排水系统提升改造项目调入1257万元。</t>
  </si>
  <si>
    <t>从南通镇生活污水治理项目调入781万元。</t>
  </si>
  <si>
    <t>从南通镇生活污水治理项目调入1260万元。</t>
  </si>
  <si>
    <t>从南通镇生活污水治理项目调入1231万元。</t>
  </si>
  <si>
    <t>其中上街片区排水系统提升改造项目调入3347；南通镇生活污水治理项目调入596万元。</t>
  </si>
  <si>
    <t>福州左海控股集团有限公司</t>
  </si>
  <si>
    <t>其中青口东南汽车园区水环境配套工程一期调入3010；南通镇生活污水治理项目调入990万元。</t>
  </si>
  <si>
    <t>从汽车城奔驰产业园区基础设施及配套附属项目调入5000万元。</t>
  </si>
  <si>
    <t>闽侯县交通局</t>
  </si>
  <si>
    <t>从汽车城奔驰产业园区基础设施及配套附属项目调入1745万元。</t>
  </si>
  <si>
    <t>闽侯县振兴—乡村集团有限公司</t>
  </si>
  <si>
    <t>从汽车城奔驰产业园区基础设施及配套附属项目调入2500万元。</t>
  </si>
  <si>
    <t>从汽车城奔驰产业园区基础设施及配套附属项目调入1170万元。</t>
  </si>
  <si>
    <t>从汽车城奔驰产业园区基础设施及配套附属项目调入401万元。</t>
  </si>
  <si>
    <t>福州东南汽车城投资发展集团有限公司</t>
  </si>
  <si>
    <t>闽侯县荆溪镇人民政府</t>
  </si>
  <si>
    <t>鸿尾乡高端建材产业园基础配套建设项目</t>
  </si>
  <si>
    <t>从闽侯县荆溪镇水系水质提升（污水管网）工程调入1000万元。</t>
  </si>
  <si>
    <t>从闽侯县荆溪镇水系水质提升（污水管网）工程调入2016万元。</t>
  </si>
  <si>
    <t>从闽侯县荆溪镇水系水质提升（污水管网）工程调入1913万元。</t>
  </si>
  <si>
    <t>闽侯县本级小计</t>
  </si>
  <si>
    <t>福州高新区城乡建设局</t>
  </si>
  <si>
    <t>从高新区智慧产业园及基础配套设施建设调入3900万元。</t>
  </si>
  <si>
    <t>从高新区智慧产业园及基础配套设施建设调入450万元。</t>
  </si>
  <si>
    <t>从高新区智慧产业园及基础配套设施建设调入10000万元。</t>
  </si>
  <si>
    <t>从高新区智慧产业园及基础配套设施建设调入5200万元。</t>
  </si>
  <si>
    <t>从高新区综合智能产业园及基础设施配套建设调入3600万元</t>
  </si>
  <si>
    <t>其中两园高标准数字产业园及基础设施配套建设2400万元；高新区智慧产业园及基础配套设施建设调入7600万元。</t>
  </si>
  <si>
    <t>高新区小计</t>
  </si>
  <si>
    <t>专项债券合计</t>
  </si>
</sst>
</file>

<file path=xl/styles.xml><?xml version="1.0" encoding="utf-8"?>
<styleSheet xmlns="http://schemas.openxmlformats.org/spreadsheetml/2006/main">
  <numFmts count="12">
    <numFmt numFmtId="176" formatCode="#,##0_ "/>
    <numFmt numFmtId="41" formatCode="_ * #,##0_ ;_ * \-#,##0_ ;_ * &quot;-&quot;_ ;_ @_ "/>
    <numFmt numFmtId="42" formatCode="_ &quot;￥&quot;* #,##0_ ;_ &quot;￥&quot;* \-#,##0_ ;_ &quot;￥&quot;* &quot;-&quot;_ ;_ @_ "/>
    <numFmt numFmtId="44" formatCode="_ &quot;￥&quot;* #,##0.00_ ;_ &quot;￥&quot;* \-#,##0.00_ ;_ &quot;￥&quot;* &quot;-&quot;??_ ;_ @_ "/>
    <numFmt numFmtId="177" formatCode="#,##0.0000_);[Red]\(#,##0.0000\)"/>
    <numFmt numFmtId="178" formatCode="#,##0.00_ "/>
    <numFmt numFmtId="43" formatCode="_ * #,##0.00_ ;_ * \-#,##0.00_ ;_ * &quot;-&quot;??_ ;_ @_ "/>
    <numFmt numFmtId="179" formatCode="0.00_ "/>
    <numFmt numFmtId="180" formatCode="0_ "/>
    <numFmt numFmtId="181" formatCode="0_);[Red]\(0\)"/>
    <numFmt numFmtId="182" formatCode="#,##0.0000_ "/>
    <numFmt numFmtId="183" formatCode="#,##0.00_);[Red]\(#,##0.00\)"/>
  </numFmts>
  <fonts count="68">
    <font>
      <sz val="11"/>
      <color theme="1"/>
      <name val="宋体"/>
      <charset val="134"/>
      <scheme val="minor"/>
    </font>
    <font>
      <sz val="14"/>
      <name val="宋体"/>
      <charset val="134"/>
      <scheme val="minor"/>
    </font>
    <font>
      <b/>
      <sz val="11"/>
      <name val="宋体"/>
      <charset val="134"/>
      <scheme val="minor"/>
    </font>
    <font>
      <b/>
      <sz val="14"/>
      <name val="楷体"/>
      <charset val="134"/>
    </font>
    <font>
      <b/>
      <sz val="14"/>
      <name val="宋体"/>
      <charset val="134"/>
      <scheme val="minor"/>
    </font>
    <font>
      <sz val="24"/>
      <name val="宋体"/>
      <charset val="134"/>
      <scheme val="minor"/>
    </font>
    <font>
      <sz val="11"/>
      <name val="宋体"/>
      <charset val="134"/>
      <scheme val="minor"/>
    </font>
    <font>
      <sz val="14"/>
      <name val="宋体"/>
      <charset val="1"/>
      <scheme val="minor"/>
    </font>
    <font>
      <b/>
      <sz val="14"/>
      <name val="楷体"/>
      <charset val="1"/>
    </font>
    <font>
      <sz val="14"/>
      <color theme="1"/>
      <name val="宋体"/>
      <charset val="134"/>
      <scheme val="minor"/>
    </font>
    <font>
      <b/>
      <sz val="14"/>
      <name val="楷体_GB2312"/>
      <charset val="1"/>
    </font>
    <font>
      <b/>
      <sz val="14"/>
      <name val="宋体"/>
      <charset val="1"/>
      <scheme val="minor"/>
    </font>
    <font>
      <b/>
      <sz val="14"/>
      <name val="楷体_GB2312"/>
      <charset val="134"/>
    </font>
    <font>
      <sz val="11"/>
      <color indexed="8"/>
      <name val="宋体"/>
      <charset val="134"/>
    </font>
    <font>
      <b/>
      <sz val="11"/>
      <color indexed="8"/>
      <name val="宋体"/>
      <charset val="134"/>
    </font>
    <font>
      <sz val="11"/>
      <name val="宋体"/>
      <charset val="134"/>
    </font>
    <font>
      <b/>
      <sz val="22"/>
      <name val="宋体"/>
      <charset val="134"/>
    </font>
    <font>
      <sz val="12"/>
      <name val="宋体"/>
      <charset val="134"/>
    </font>
    <font>
      <b/>
      <sz val="14"/>
      <name val="宋体"/>
      <charset val="134"/>
    </font>
    <font>
      <b/>
      <sz val="12"/>
      <name val="宋体"/>
      <charset val="134"/>
    </font>
    <font>
      <sz val="14"/>
      <name val="宋体"/>
      <charset val="134"/>
    </font>
    <font>
      <sz val="10"/>
      <name val="宋体"/>
      <charset val="134"/>
    </font>
    <font>
      <b/>
      <sz val="11"/>
      <name val="宋体"/>
      <charset val="134"/>
    </font>
    <font>
      <sz val="14"/>
      <name val="仿宋"/>
      <charset val="134"/>
    </font>
    <font>
      <sz val="14"/>
      <color indexed="8"/>
      <name val="仿宋"/>
      <charset val="134"/>
    </font>
    <font>
      <b/>
      <sz val="14"/>
      <name val="仿宋"/>
      <charset val="134"/>
    </font>
    <font>
      <b/>
      <sz val="14"/>
      <color indexed="8"/>
      <name val="仿宋"/>
      <charset val="134"/>
    </font>
    <font>
      <sz val="10"/>
      <color indexed="8"/>
      <name val="仿宋"/>
      <charset val="134"/>
    </font>
    <font>
      <sz val="11"/>
      <name val="仿宋"/>
      <charset val="134"/>
    </font>
    <font>
      <sz val="12"/>
      <name val="宋体"/>
      <charset val="134"/>
      <scheme val="minor"/>
    </font>
    <font>
      <b/>
      <sz val="12"/>
      <name val="仿宋"/>
      <charset val="134"/>
    </font>
    <font>
      <sz val="12"/>
      <name val="仿宋"/>
      <charset val="134"/>
    </font>
    <font>
      <sz val="10"/>
      <name val="仿宋"/>
      <charset val="134"/>
    </font>
    <font>
      <sz val="12"/>
      <color theme="1"/>
      <name val="宋体"/>
      <charset val="134"/>
      <scheme val="minor"/>
    </font>
    <font>
      <b/>
      <sz val="12"/>
      <name val="宋体"/>
      <charset val="1"/>
    </font>
    <font>
      <sz val="11"/>
      <name val="宋体"/>
      <charset val="1"/>
    </font>
    <font>
      <sz val="12"/>
      <name val="宋体"/>
      <charset val="1"/>
    </font>
    <font>
      <sz val="10"/>
      <name val="SimSun"/>
      <charset val="134"/>
    </font>
    <font>
      <b/>
      <sz val="16"/>
      <name val="宋体"/>
      <charset val="134"/>
    </font>
    <font>
      <sz val="11"/>
      <color theme="0"/>
      <name val="宋体"/>
      <charset val="0"/>
      <scheme val="minor"/>
    </font>
    <font>
      <sz val="11"/>
      <color theme="1"/>
      <name val="宋体"/>
      <charset val="0"/>
      <scheme val="minor"/>
    </font>
    <font>
      <sz val="12"/>
      <color indexed="8"/>
      <name val="宋体"/>
      <charset val="134"/>
    </font>
    <font>
      <u/>
      <sz val="11"/>
      <color rgb="FF800080"/>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sz val="12"/>
      <color indexed="9"/>
      <name val="宋体"/>
      <charset val="134"/>
    </font>
    <font>
      <b/>
      <sz val="11"/>
      <color rgb="FF3F3F3F"/>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b/>
      <sz val="12"/>
      <color indexed="8"/>
      <name val="宋体"/>
      <charset val="134"/>
    </font>
    <font>
      <sz val="11"/>
      <color indexed="20"/>
      <name val="宋体"/>
      <charset val="134"/>
    </font>
    <font>
      <u/>
      <sz val="11"/>
      <color indexed="12"/>
      <name val="宋体"/>
      <charset val="134"/>
    </font>
    <font>
      <sz val="11"/>
      <color indexed="17"/>
      <name val="宋体"/>
      <charset val="134"/>
    </font>
    <font>
      <b/>
      <sz val="18"/>
      <color indexed="62"/>
      <name val="宋体"/>
      <charset val="134"/>
    </font>
    <font>
      <u/>
      <sz val="11"/>
      <color indexed="30"/>
      <name val="宋体"/>
      <charset val="134"/>
    </font>
    <font>
      <sz val="9"/>
      <name val="宋体"/>
      <charset val="134"/>
    </font>
    <font>
      <b/>
      <sz val="9"/>
      <name val="宋体"/>
      <charset val="134"/>
    </font>
  </fonts>
  <fills count="49">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52"/>
        <bgColor indexed="64"/>
      </patternFill>
    </fill>
    <fill>
      <patternFill patternType="solid">
        <fgColor indexed="54"/>
        <bgColor indexed="64"/>
      </patternFill>
    </fill>
    <fill>
      <patternFill patternType="solid">
        <fgColor indexed="26"/>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indexed="31"/>
        <bgColor indexed="64"/>
      </patternFill>
    </fill>
    <fill>
      <patternFill patternType="solid">
        <fgColor rgb="FFC6EFCE"/>
        <bgColor indexed="64"/>
      </patternFill>
    </fill>
    <fill>
      <patternFill patternType="solid">
        <fgColor indexed="25"/>
        <bgColor indexed="64"/>
      </patternFill>
    </fill>
    <fill>
      <patternFill patternType="solid">
        <fgColor theme="4"/>
        <bgColor indexed="64"/>
      </patternFill>
    </fill>
    <fill>
      <patternFill patternType="solid">
        <fgColor indexed="5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indexed="44"/>
        <bgColor indexed="64"/>
      </patternFill>
    </fill>
    <fill>
      <patternFill patternType="solid">
        <fgColor theme="7" tint="0.599993896298105"/>
        <bgColor indexed="64"/>
      </patternFill>
    </fill>
    <fill>
      <patternFill patternType="solid">
        <fgColor theme="9" tint="0.399975585192419"/>
        <bgColor indexed="64"/>
      </patternFill>
    </fill>
    <fill>
      <patternFill patternType="lightUp">
        <fgColor indexed="9"/>
        <bgColor indexed="22"/>
      </patternFill>
    </fill>
    <fill>
      <patternFill patternType="solid">
        <fgColor theme="8"/>
        <bgColor indexed="64"/>
      </patternFill>
    </fill>
    <fill>
      <patternFill patternType="solid">
        <fgColor theme="8" tint="0.599993896298105"/>
        <bgColor indexed="64"/>
      </patternFill>
    </fill>
    <fill>
      <patternFill patternType="solid">
        <fgColor indexed="45"/>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lightUp">
        <fgColor indexed="9"/>
        <bgColor indexed="29"/>
      </patternFill>
    </fill>
    <fill>
      <patternFill patternType="lightUp">
        <fgColor indexed="9"/>
        <bgColor indexed="55"/>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top style="thin">
        <color indexed="8"/>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132">
    <xf numFmtId="0" fontId="0" fillId="0" borderId="0">
      <alignment vertical="center"/>
    </xf>
    <xf numFmtId="42" fontId="0" fillId="0" borderId="0" applyFont="0" applyFill="0" applyBorder="0" applyAlignment="0" applyProtection="0">
      <alignment vertical="center"/>
    </xf>
    <xf numFmtId="0" fontId="40" fillId="10" borderId="0" applyNumberFormat="0" applyBorder="0" applyAlignment="0" applyProtection="0">
      <alignment vertical="center"/>
    </xf>
    <xf numFmtId="0" fontId="43" fillId="6" borderId="14" applyNumberFormat="0" applyAlignment="0" applyProtection="0">
      <alignment vertical="center"/>
    </xf>
    <xf numFmtId="44" fontId="0" fillId="0" borderId="0" applyFont="0" applyFill="0" applyBorder="0" applyAlignment="0" applyProtection="0">
      <alignment vertical="center"/>
    </xf>
    <xf numFmtId="0" fontId="41" fillId="13" borderId="0" applyNumberFormat="0" applyBorder="0" applyAlignment="0" applyProtection="0"/>
    <xf numFmtId="41" fontId="0" fillId="0" borderId="0" applyFont="0" applyFill="0" applyBorder="0" applyAlignment="0" applyProtection="0">
      <alignment vertical="center"/>
    </xf>
    <xf numFmtId="0" fontId="41" fillId="5" borderId="0" applyNumberFormat="0" applyBorder="0" applyAlignment="0" applyProtection="0"/>
    <xf numFmtId="0" fontId="40" fillId="17" borderId="0" applyNumberFormat="0" applyBorder="0" applyAlignment="0" applyProtection="0">
      <alignment vertical="center"/>
    </xf>
    <xf numFmtId="0" fontId="49" fillId="18" borderId="0" applyNumberFormat="0" applyBorder="0" applyAlignment="0" applyProtection="0">
      <alignment vertical="center"/>
    </xf>
    <xf numFmtId="43"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47" fillId="23" borderId="0" applyNumberFormat="0" applyBorder="0" applyAlignment="0" applyProtection="0"/>
    <xf numFmtId="0" fontId="39" fillId="27" borderId="0" applyNumberFormat="0" applyBorder="0" applyAlignment="0" applyProtection="0">
      <alignment vertical="center"/>
    </xf>
    <xf numFmtId="9" fontId="0" fillId="0" borderId="0" applyFont="0" applyFill="0" applyBorder="0" applyAlignment="0" applyProtection="0">
      <alignment vertical="center"/>
    </xf>
    <xf numFmtId="0" fontId="41" fillId="19" borderId="0" applyNumberFormat="0" applyBorder="0" applyAlignment="0" applyProtection="0"/>
    <xf numFmtId="0" fontId="42" fillId="0" borderId="0" applyNumberFormat="0" applyFill="0" applyBorder="0" applyAlignment="0" applyProtection="0">
      <alignment vertical="center"/>
    </xf>
    <xf numFmtId="0" fontId="0" fillId="28" borderId="18" applyNumberFormat="0" applyFont="0" applyAlignment="0" applyProtection="0">
      <alignment vertical="center"/>
    </xf>
    <xf numFmtId="0" fontId="39" fillId="4" borderId="0" applyNumberFormat="0" applyBorder="0" applyAlignment="0" applyProtection="0">
      <alignment vertical="center"/>
    </xf>
    <xf numFmtId="0" fontId="47" fillId="11" borderId="0" applyNumberFormat="0" applyBorder="0" applyAlignment="0" applyProtection="0"/>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58" fillId="0" borderId="17" applyNumberFormat="0" applyFill="0" applyAlignment="0" applyProtection="0">
      <alignment vertical="center"/>
    </xf>
    <xf numFmtId="0" fontId="51" fillId="0" borderId="17" applyNumberFormat="0" applyFill="0" applyAlignment="0" applyProtection="0">
      <alignment vertical="center"/>
    </xf>
    <xf numFmtId="0" fontId="39" fillId="9" borderId="0" applyNumberFormat="0" applyBorder="0" applyAlignment="0" applyProtection="0">
      <alignment vertical="center"/>
    </xf>
    <xf numFmtId="0" fontId="47" fillId="11" borderId="0" applyNumberFormat="0" applyBorder="0" applyAlignment="0" applyProtection="0"/>
    <xf numFmtId="0" fontId="57" fillId="0" borderId="21" applyNumberFormat="0" applyFill="0" applyAlignment="0" applyProtection="0">
      <alignment vertical="center"/>
    </xf>
    <xf numFmtId="0" fontId="47" fillId="12" borderId="0" applyNumberFormat="0" applyBorder="0" applyAlignment="0" applyProtection="0"/>
    <xf numFmtId="0" fontId="39" fillId="26" borderId="0" applyNumberFormat="0" applyBorder="0" applyAlignment="0" applyProtection="0">
      <alignment vertical="center"/>
    </xf>
    <xf numFmtId="0" fontId="48" fillId="8" borderId="16" applyNumberFormat="0" applyAlignment="0" applyProtection="0">
      <alignment vertical="center"/>
    </xf>
    <xf numFmtId="0" fontId="46" fillId="8" borderId="14" applyNumberFormat="0" applyAlignment="0" applyProtection="0">
      <alignment vertical="center"/>
    </xf>
    <xf numFmtId="0" fontId="45" fillId="7" borderId="15" applyNumberFormat="0" applyAlignment="0" applyProtection="0">
      <alignment vertical="center"/>
    </xf>
    <xf numFmtId="0" fontId="40" fillId="31" borderId="0" applyNumberFormat="0" applyBorder="0" applyAlignment="0" applyProtection="0">
      <alignment vertical="center"/>
    </xf>
    <xf numFmtId="0" fontId="39" fillId="30" borderId="0" applyNumberFormat="0" applyBorder="0" applyAlignment="0" applyProtection="0">
      <alignment vertical="center"/>
    </xf>
    <xf numFmtId="0" fontId="55" fillId="0" borderId="20" applyNumberFormat="0" applyFill="0" applyAlignment="0" applyProtection="0">
      <alignment vertical="center"/>
    </xf>
    <xf numFmtId="0" fontId="54" fillId="0" borderId="19" applyNumberFormat="0" applyFill="0" applyAlignment="0" applyProtection="0">
      <alignment vertical="center"/>
    </xf>
    <xf numFmtId="0" fontId="50" fillId="20" borderId="0" applyNumberFormat="0" applyBorder="0" applyAlignment="0" applyProtection="0">
      <alignment vertical="center"/>
    </xf>
    <xf numFmtId="0" fontId="53" fillId="29" borderId="0" applyNumberFormat="0" applyBorder="0" applyAlignment="0" applyProtection="0">
      <alignment vertical="center"/>
    </xf>
    <xf numFmtId="0" fontId="40" fillId="16" borderId="0" applyNumberFormat="0" applyBorder="0" applyAlignment="0" applyProtection="0">
      <alignment vertical="center"/>
    </xf>
    <xf numFmtId="0" fontId="39" fillId="22" borderId="0" applyNumberFormat="0" applyBorder="0" applyAlignment="0" applyProtection="0">
      <alignment vertical="center"/>
    </xf>
    <xf numFmtId="0" fontId="40" fillId="35" borderId="0" applyNumberFormat="0" applyBorder="0" applyAlignment="0" applyProtection="0">
      <alignment vertical="center"/>
    </xf>
    <xf numFmtId="0" fontId="40" fillId="15" borderId="0" applyNumberFormat="0" applyBorder="0" applyAlignment="0" applyProtection="0">
      <alignment vertical="center"/>
    </xf>
    <xf numFmtId="0" fontId="40" fillId="3" borderId="0" applyNumberFormat="0" applyBorder="0" applyAlignment="0" applyProtection="0">
      <alignment vertical="center"/>
    </xf>
    <xf numFmtId="0" fontId="40" fillId="25" borderId="0" applyNumberFormat="0" applyBorder="0" applyAlignment="0" applyProtection="0">
      <alignment vertical="center"/>
    </xf>
    <xf numFmtId="0" fontId="13" fillId="0" borderId="0">
      <alignment vertical="center"/>
    </xf>
    <xf numFmtId="0" fontId="39" fillId="34" borderId="0" applyNumberFormat="0" applyBorder="0" applyAlignment="0" applyProtection="0">
      <alignment vertical="center"/>
    </xf>
    <xf numFmtId="0" fontId="41" fillId="5" borderId="0" applyNumberFormat="0" applyBorder="0" applyAlignment="0" applyProtection="0"/>
    <xf numFmtId="0" fontId="17" fillId="0" borderId="0"/>
    <xf numFmtId="0" fontId="47" fillId="36" borderId="0" applyNumberFormat="0" applyBorder="0" applyAlignment="0" applyProtection="0"/>
    <xf numFmtId="0" fontId="39" fillId="14" borderId="0" applyNumberFormat="0" applyBorder="0" applyAlignment="0" applyProtection="0">
      <alignment vertical="center"/>
    </xf>
    <xf numFmtId="0" fontId="41" fillId="19" borderId="0" applyNumberFormat="0" applyBorder="0" applyAlignment="0" applyProtection="0"/>
    <xf numFmtId="0" fontId="40" fillId="32" borderId="0" applyNumberFormat="0" applyBorder="0" applyAlignment="0" applyProtection="0">
      <alignment vertical="center"/>
    </xf>
    <xf numFmtId="0" fontId="40" fillId="37" borderId="0" applyNumberFormat="0" applyBorder="0" applyAlignment="0" applyProtection="0">
      <alignment vertical="center"/>
    </xf>
    <xf numFmtId="0" fontId="39" fillId="40" borderId="0" applyNumberFormat="0" applyBorder="0" applyAlignment="0" applyProtection="0">
      <alignment vertical="center"/>
    </xf>
    <xf numFmtId="0" fontId="40" fillId="41" borderId="0" applyNumberFormat="0" applyBorder="0" applyAlignment="0" applyProtection="0">
      <alignment vertical="center"/>
    </xf>
    <xf numFmtId="0" fontId="47" fillId="12" borderId="0" applyNumberFormat="0" applyBorder="0" applyAlignment="0" applyProtection="0"/>
    <xf numFmtId="0" fontId="39" fillId="2" borderId="0" applyNumberFormat="0" applyBorder="0" applyAlignment="0" applyProtection="0">
      <alignment vertical="center"/>
    </xf>
    <xf numFmtId="0" fontId="39" fillId="33" borderId="0" applyNumberFormat="0" applyBorder="0" applyAlignment="0" applyProtection="0">
      <alignment vertical="center"/>
    </xf>
    <xf numFmtId="0" fontId="40" fillId="24" borderId="0" applyNumberFormat="0" applyBorder="0" applyAlignment="0" applyProtection="0">
      <alignment vertical="center"/>
    </xf>
    <xf numFmtId="0" fontId="39" fillId="38" borderId="0" applyNumberFormat="0" applyBorder="0" applyAlignment="0" applyProtection="0">
      <alignment vertical="center"/>
    </xf>
    <xf numFmtId="0" fontId="47" fillId="12"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7" fillId="36" borderId="0" applyNumberFormat="0" applyBorder="0" applyAlignment="0" applyProtection="0"/>
    <xf numFmtId="0" fontId="47" fillId="21" borderId="0" applyNumberFormat="0" applyBorder="0" applyAlignment="0" applyProtection="0"/>
    <xf numFmtId="0" fontId="61" fillId="42" borderId="0" applyNumberFormat="0" applyBorder="0" applyAlignment="0" applyProtection="0">
      <alignment vertical="center"/>
    </xf>
    <xf numFmtId="0" fontId="41" fillId="13" borderId="0" applyNumberFormat="0" applyBorder="0" applyAlignment="0" applyProtection="0"/>
    <xf numFmtId="0" fontId="62" fillId="0" borderId="0" applyNumberFormat="0" applyFill="0" applyBorder="0" applyAlignment="0" applyProtection="0">
      <alignment vertical="center"/>
    </xf>
    <xf numFmtId="0" fontId="47" fillId="23"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3" borderId="0" applyNumberFormat="0" applyBorder="0" applyAlignment="0" applyProtection="0"/>
    <xf numFmtId="0" fontId="41" fillId="13" borderId="0" applyNumberFormat="0" applyBorder="0" applyAlignment="0" applyProtection="0"/>
    <xf numFmtId="0" fontId="47" fillId="43" borderId="0" applyNumberFormat="0" applyBorder="0" applyAlignment="0" applyProtection="0"/>
    <xf numFmtId="0" fontId="41" fillId="1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12"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4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12"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43"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4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17" fillId="0" borderId="0"/>
    <xf numFmtId="0" fontId="17" fillId="0" borderId="0"/>
    <xf numFmtId="0" fontId="60" fillId="39" borderId="0" applyNumberFormat="0" applyBorder="0" applyAlignment="0" applyProtection="0"/>
    <xf numFmtId="0" fontId="17" fillId="0" borderId="0"/>
    <xf numFmtId="0" fontId="60" fillId="39" borderId="0" applyNumberFormat="0" applyBorder="0" applyAlignment="0" applyProtection="0"/>
    <xf numFmtId="0" fontId="17" fillId="0" borderId="0"/>
    <xf numFmtId="0" fontId="0" fillId="0" borderId="0">
      <alignment vertical="center"/>
    </xf>
    <xf numFmtId="0" fontId="13" fillId="0" borderId="0">
      <alignment vertical="center"/>
    </xf>
    <xf numFmtId="0" fontId="17" fillId="0" borderId="0"/>
    <xf numFmtId="0" fontId="63" fillId="44" borderId="0" applyNumberFormat="0" applyBorder="0" applyAlignment="0" applyProtection="0">
      <alignment vertical="center"/>
    </xf>
    <xf numFmtId="0" fontId="63" fillId="44" borderId="0" applyNumberFormat="0" applyBorder="0" applyAlignment="0" applyProtection="0">
      <alignment vertical="center"/>
    </xf>
    <xf numFmtId="0" fontId="63" fillId="44" borderId="0" applyNumberFormat="0" applyBorder="0" applyAlignment="0" applyProtection="0">
      <alignment vertical="center"/>
    </xf>
    <xf numFmtId="0" fontId="60" fillId="48" borderId="0" applyNumberFormat="0" applyBorder="0" applyAlignment="0" applyProtection="0"/>
    <xf numFmtId="0" fontId="60"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13" fillId="0" borderId="0">
      <alignment vertical="center"/>
    </xf>
    <xf numFmtId="0" fontId="65" fillId="0" borderId="0" applyNumberFormat="0" applyFill="0" applyBorder="0" applyAlignment="0" applyProtection="0">
      <alignment vertical="top"/>
      <protection locked="0"/>
    </xf>
    <xf numFmtId="0" fontId="36" fillId="0" borderId="0">
      <alignment vertical="center"/>
    </xf>
    <xf numFmtId="0" fontId="0" fillId="0" borderId="0">
      <alignment vertical="center"/>
    </xf>
  </cellStyleXfs>
  <cellXfs count="252">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lignment vertical="center"/>
    </xf>
    <xf numFmtId="0" fontId="1" fillId="0" borderId="0" xfId="0" applyFont="1" applyFill="1" applyAlignment="1">
      <alignment horizontal="center" vertical="center"/>
    </xf>
    <xf numFmtId="0" fontId="0" fillId="0" borderId="0" xfId="0" applyFill="1">
      <alignment vertical="center"/>
    </xf>
    <xf numFmtId="0" fontId="5"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0" xfId="0" applyFont="1" applyFill="1">
      <alignment vertical="center"/>
    </xf>
    <xf numFmtId="0" fontId="1" fillId="0" borderId="2" xfId="0" applyFont="1" applyFill="1" applyBorder="1" applyAlignment="1">
      <alignment horizontal="center" vertical="center"/>
    </xf>
    <xf numFmtId="0" fontId="1" fillId="0" borderId="2" xfId="131" applyFont="1" applyFill="1" applyBorder="1" applyAlignment="1">
      <alignment vertical="center" wrapText="1"/>
    </xf>
    <xf numFmtId="0" fontId="1" fillId="0" borderId="2" xfId="0" applyFont="1" applyFill="1" applyBorder="1" applyAlignment="1">
      <alignment horizontal="left" vertical="center" wrapText="1"/>
    </xf>
    <xf numFmtId="176" fontId="7" fillId="0" borderId="2" xfId="0" applyNumberFormat="1" applyFont="1" applyFill="1" applyBorder="1" applyAlignment="1">
      <alignment horizontal="right" vertical="center"/>
    </xf>
    <xf numFmtId="0" fontId="1" fillId="0" borderId="2" xfId="0" applyFont="1" applyFill="1" applyBorder="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131" applyFont="1" applyFill="1" applyBorder="1" applyAlignment="1">
      <alignment horizontal="center" vertical="center" wrapText="1"/>
    </xf>
    <xf numFmtId="176" fontId="8" fillId="0" borderId="2" xfId="0" applyNumberFormat="1" applyFont="1" applyFill="1" applyBorder="1" applyAlignment="1">
      <alignment horizontal="right" vertical="center"/>
    </xf>
    <xf numFmtId="0" fontId="3" fillId="0" borderId="2" xfId="0" applyFont="1" applyFill="1" applyBorder="1">
      <alignment vertical="center"/>
    </xf>
    <xf numFmtId="0" fontId="7" fillId="0" borderId="2" xfId="0" applyNumberFormat="1" applyFont="1" applyFill="1" applyBorder="1" applyAlignment="1">
      <alignment vertical="center" wrapText="1"/>
    </xf>
    <xf numFmtId="0" fontId="9"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6" fontId="11" fillId="0" borderId="2" xfId="0" applyNumberFormat="1" applyFont="1" applyFill="1" applyBorder="1" applyAlignment="1">
      <alignment horizontal="right" vertical="center"/>
    </xf>
    <xf numFmtId="0" fontId="4" fillId="0" borderId="2" xfId="0" applyFont="1" applyFill="1" applyBorder="1">
      <alignment vertical="center"/>
    </xf>
    <xf numFmtId="0" fontId="0" fillId="0" borderId="0" xfId="0" applyFont="1" applyFill="1">
      <alignment vertical="center"/>
    </xf>
    <xf numFmtId="10" fontId="12"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right" vertical="center"/>
    </xf>
    <xf numFmtId="0" fontId="1"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wrapText="1"/>
    </xf>
    <xf numFmtId="0" fontId="13" fillId="0" borderId="0" xfId="0" applyFont="1" applyFill="1" applyBorder="1" applyAlignment="1"/>
    <xf numFmtId="0" fontId="15" fillId="0" borderId="0" xfId="0" applyFont="1" applyFill="1" applyBorder="1" applyAlignment="1"/>
    <xf numFmtId="57" fontId="17" fillId="0" borderId="3" xfId="0" applyNumberFormat="1" applyFont="1" applyFill="1" applyBorder="1" applyAlignment="1">
      <alignment vertical="center"/>
    </xf>
    <xf numFmtId="0" fontId="17" fillId="0" borderId="3"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9" fillId="0" borderId="2" xfId="0" applyNumberFormat="1" applyFont="1" applyFill="1" applyBorder="1" applyAlignment="1">
      <alignment horizontal="center" vertical="center"/>
    </xf>
    <xf numFmtId="0" fontId="19" fillId="0" borderId="2" xfId="112"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0" applyFont="1" applyFill="1" applyBorder="1" applyAlignment="1">
      <alignment vertical="center" wrapText="1"/>
    </xf>
    <xf numFmtId="180" fontId="21" fillId="0" borderId="2" xfId="0" applyNumberFormat="1" applyFont="1" applyFill="1" applyBorder="1" applyAlignment="1">
      <alignment vertical="center"/>
    </xf>
    <xf numFmtId="0" fontId="20" fillId="0" borderId="0" xfId="0" applyFont="1" applyFill="1" applyBorder="1" applyAlignment="1">
      <alignment vertical="center" wrapText="1"/>
    </xf>
    <xf numFmtId="0" fontId="20" fillId="0" borderId="4" xfId="0" applyFont="1" applyFill="1" applyBorder="1" applyAlignment="1">
      <alignment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2" fillId="0" borderId="0" xfId="0" applyFont="1" applyFill="1" applyBorder="1" applyAlignment="1">
      <alignment horizontal="center" vertical="center"/>
    </xf>
    <xf numFmtId="176" fontId="23" fillId="0" borderId="0" xfId="0" applyNumberFormat="1" applyFont="1" applyFill="1" applyBorder="1" applyAlignment="1">
      <alignment horizontal="center" vertical="center" wrapText="1"/>
    </xf>
    <xf numFmtId="0" fontId="24" fillId="0" borderId="0" xfId="0" applyFont="1" applyFill="1" applyBorder="1" applyAlignment="1">
      <alignment horizontal="center"/>
    </xf>
    <xf numFmtId="0" fontId="25" fillId="0" borderId="2" xfId="0" applyNumberFormat="1" applyFont="1" applyFill="1" applyBorder="1" applyAlignment="1">
      <alignment horizontal="center" vertical="center"/>
    </xf>
    <xf numFmtId="176" fontId="25" fillId="0" borderId="2" xfId="112" applyNumberFormat="1" applyFont="1" applyFill="1" applyBorder="1" applyAlignment="1">
      <alignment horizontal="center" vertical="center" wrapText="1"/>
    </xf>
    <xf numFmtId="0" fontId="26" fillId="0" borderId="2" xfId="112" applyFont="1" applyFill="1" applyBorder="1" applyAlignment="1">
      <alignment horizontal="center" vertical="center" wrapText="1"/>
    </xf>
    <xf numFmtId="180" fontId="27" fillId="0" borderId="2"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6" fillId="0" borderId="0" xfId="112" applyFont="1" applyFill="1" applyBorder="1" applyAlignment="1">
      <alignment horizontal="center" vertical="center" wrapText="1"/>
    </xf>
    <xf numFmtId="180" fontId="27" fillId="0" borderId="0" xfId="0" applyNumberFormat="1" applyFont="1" applyFill="1" applyBorder="1" applyAlignment="1">
      <alignment horizontal="center" vertical="center"/>
    </xf>
    <xf numFmtId="0" fontId="22" fillId="0" borderId="0" xfId="0" applyFont="1" applyFill="1" applyAlignment="1"/>
    <xf numFmtId="0" fontId="19" fillId="0" borderId="0" xfId="0" applyFont="1" applyFill="1" applyAlignment="1"/>
    <xf numFmtId="179" fontId="19" fillId="0" borderId="0" xfId="0" applyNumberFormat="1" applyFont="1" applyFill="1" applyAlignment="1"/>
    <xf numFmtId="179" fontId="22" fillId="0" borderId="0" xfId="0" applyNumberFormat="1" applyFont="1" applyFill="1" applyAlignment="1"/>
    <xf numFmtId="0" fontId="6" fillId="0" borderId="0" xfId="0" applyFont="1" applyFill="1" applyAlignment="1"/>
    <xf numFmtId="179" fontId="6" fillId="0" borderId="0" xfId="0" applyNumberFormat="1" applyFont="1" applyFill="1" applyAlignment="1"/>
    <xf numFmtId="179" fontId="17" fillId="0" borderId="0" xfId="0" applyNumberFormat="1" applyFont="1" applyFill="1" applyAlignment="1"/>
    <xf numFmtId="0" fontId="17" fillId="0" borderId="0" xfId="0" applyFont="1" applyFill="1" applyAlignment="1"/>
    <xf numFmtId="181" fontId="6" fillId="0" borderId="0" xfId="0" applyNumberFormat="1" applyFont="1" applyFill="1" applyAlignment="1">
      <alignment horizontal="center" vertical="center"/>
    </xf>
    <xf numFmtId="0" fontId="28" fillId="0" borderId="0" xfId="0" applyFont="1" applyFill="1" applyAlignment="1"/>
    <xf numFmtId="178" fontId="29" fillId="0" borderId="0" xfId="0" applyNumberFormat="1" applyFont="1" applyFill="1" applyAlignment="1"/>
    <xf numFmtId="0" fontId="16" fillId="0" borderId="0" xfId="0" applyFont="1" applyFill="1" applyAlignment="1">
      <alignment horizontal="center" vertical="center"/>
    </xf>
    <xf numFmtId="178" fontId="19" fillId="0" borderId="0" xfId="0" applyNumberFormat="1" applyFont="1" applyFill="1" applyAlignment="1">
      <alignment horizontal="center" vertical="center"/>
    </xf>
    <xf numFmtId="181" fontId="17" fillId="0" borderId="0" xfId="0" applyNumberFormat="1" applyFont="1" applyFill="1" applyAlignment="1">
      <alignment vertical="center"/>
    </xf>
    <xf numFmtId="178" fontId="17" fillId="0" borderId="3" xfId="0" applyNumberFormat="1" applyFont="1" applyFill="1" applyBorder="1" applyAlignment="1">
      <alignment horizontal="left"/>
    </xf>
    <xf numFmtId="181" fontId="3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178" fontId="30" fillId="0" borderId="1" xfId="0" applyNumberFormat="1" applyFont="1" applyFill="1" applyBorder="1" applyAlignment="1">
      <alignment horizontal="center" vertical="center" wrapText="1"/>
    </xf>
    <xf numFmtId="178" fontId="30" fillId="0" borderId="6" xfId="0" applyNumberFormat="1" applyFont="1" applyFill="1" applyBorder="1" applyAlignment="1">
      <alignment horizontal="center" vertical="center"/>
    </xf>
    <xf numFmtId="178" fontId="30" fillId="0" borderId="7" xfId="0" applyNumberFormat="1" applyFont="1" applyFill="1" applyBorder="1" applyAlignment="1">
      <alignment horizontal="center" vertical="center"/>
    </xf>
    <xf numFmtId="178" fontId="30" fillId="0" borderId="8" xfId="0" applyNumberFormat="1" applyFont="1" applyFill="1" applyBorder="1" applyAlignment="1">
      <alignment horizontal="center" vertical="center"/>
    </xf>
    <xf numFmtId="178" fontId="30" fillId="0" borderId="9" xfId="0" applyNumberFormat="1" applyFont="1" applyFill="1" applyBorder="1" applyAlignment="1">
      <alignment horizontal="center" vertical="center" wrapText="1"/>
    </xf>
    <xf numFmtId="178" fontId="30" fillId="0" borderId="5" xfId="0" applyNumberFormat="1" applyFont="1" applyFill="1" applyBorder="1" applyAlignment="1">
      <alignment horizontal="center" vertical="center" wrapText="1"/>
    </xf>
    <xf numFmtId="181" fontId="30" fillId="0" borderId="2" xfId="0" applyNumberFormat="1" applyFont="1" applyFill="1" applyBorder="1" applyAlignment="1">
      <alignment horizontal="center" vertical="center"/>
    </xf>
    <xf numFmtId="178" fontId="30" fillId="0" borderId="2" xfId="0" applyNumberFormat="1" applyFont="1" applyFill="1" applyBorder="1" applyAlignment="1">
      <alignment vertical="center"/>
    </xf>
    <xf numFmtId="179" fontId="30" fillId="0" borderId="2" xfId="0" applyNumberFormat="1" applyFont="1" applyFill="1" applyBorder="1" applyAlignment="1">
      <alignment horizontal="center" vertical="center" wrapText="1"/>
    </xf>
    <xf numFmtId="179" fontId="30" fillId="0" borderId="2" xfId="0" applyNumberFormat="1" applyFont="1" applyFill="1" applyBorder="1" applyAlignment="1">
      <alignment vertical="center" wrapText="1"/>
    </xf>
    <xf numFmtId="181" fontId="31" fillId="0" borderId="2" xfId="0" applyNumberFormat="1" applyFont="1" applyFill="1" applyBorder="1" applyAlignment="1">
      <alignment horizontal="center" vertical="center"/>
    </xf>
    <xf numFmtId="0" fontId="32" fillId="0" borderId="2" xfId="0" applyFont="1" applyFill="1" applyBorder="1" applyAlignment="1">
      <alignment vertical="center" wrapText="1"/>
    </xf>
    <xf numFmtId="178" fontId="31" fillId="0" borderId="2" xfId="0" applyNumberFormat="1" applyFont="1" applyFill="1" applyBorder="1" applyAlignment="1">
      <alignment vertical="center"/>
    </xf>
    <xf numFmtId="0" fontId="6" fillId="0" borderId="0" xfId="0" applyFont="1" applyFill="1" applyAlignment="1">
      <alignment horizontal="right"/>
    </xf>
    <xf numFmtId="177" fontId="30" fillId="0" borderId="1" xfId="0" applyNumberFormat="1" applyFont="1" applyFill="1" applyBorder="1" applyAlignment="1">
      <alignment horizontal="center" vertical="center" wrapText="1"/>
    </xf>
    <xf numFmtId="177" fontId="30" fillId="0" borderId="9" xfId="0" applyNumberFormat="1" applyFont="1" applyFill="1" applyBorder="1" applyAlignment="1">
      <alignment horizontal="center" vertical="center" wrapText="1"/>
    </xf>
    <xf numFmtId="177" fontId="30" fillId="0" borderId="5" xfId="0" applyNumberFormat="1" applyFont="1" applyFill="1" applyBorder="1" applyAlignment="1">
      <alignment horizontal="center" vertical="center" wrapText="1"/>
    </xf>
    <xf numFmtId="182" fontId="30" fillId="0" borderId="2" xfId="0" applyNumberFormat="1" applyFont="1" applyFill="1" applyBorder="1" applyAlignment="1"/>
    <xf numFmtId="179" fontId="30" fillId="0" borderId="2" xfId="0" applyNumberFormat="1" applyFont="1" applyFill="1" applyBorder="1" applyAlignment="1"/>
    <xf numFmtId="182" fontId="31" fillId="0" borderId="2" xfId="0" applyNumberFormat="1" applyFont="1" applyFill="1" applyBorder="1" applyAlignment="1"/>
    <xf numFmtId="178" fontId="31" fillId="0" borderId="2" xfId="0" applyNumberFormat="1" applyFont="1" applyFill="1" applyBorder="1" applyAlignment="1">
      <alignment vertical="center" wrapText="1"/>
    </xf>
    <xf numFmtId="179" fontId="30" fillId="0" borderId="1" xfId="0" applyNumberFormat="1" applyFont="1" applyFill="1" applyBorder="1" applyAlignment="1"/>
    <xf numFmtId="181" fontId="30" fillId="0" borderId="1" xfId="0" applyNumberFormat="1" applyFont="1" applyFill="1" applyBorder="1" applyAlignment="1">
      <alignment horizontal="center" vertical="center"/>
    </xf>
    <xf numFmtId="178" fontId="30" fillId="0" borderId="2" xfId="0" applyNumberFormat="1" applyFont="1" applyFill="1" applyBorder="1" applyAlignment="1">
      <alignment horizontal="center" vertical="center" wrapText="1"/>
    </xf>
    <xf numFmtId="178" fontId="30" fillId="0" borderId="1" xfId="0" applyNumberFormat="1" applyFont="1" applyFill="1" applyBorder="1" applyAlignment="1">
      <alignment vertical="center"/>
    </xf>
    <xf numFmtId="178" fontId="30" fillId="0" borderId="2" xfId="0" applyNumberFormat="1" applyFont="1" applyFill="1" applyBorder="1" applyAlignment="1">
      <alignment vertical="center" wrapText="1"/>
    </xf>
    <xf numFmtId="49" fontId="32" fillId="0" borderId="2" xfId="118" applyNumberFormat="1" applyFont="1" applyFill="1" applyBorder="1" applyAlignment="1">
      <alignment vertical="center" wrapText="1"/>
    </xf>
    <xf numFmtId="179" fontId="31" fillId="0" borderId="2" xfId="0" applyNumberFormat="1" applyFont="1" applyFill="1" applyBorder="1" applyAlignment="1">
      <alignment vertical="center" wrapText="1"/>
    </xf>
    <xf numFmtId="179" fontId="31" fillId="0" borderId="2" xfId="0" applyNumberFormat="1" applyFont="1" applyFill="1" applyBorder="1" applyAlignment="1"/>
    <xf numFmtId="178" fontId="17" fillId="0" borderId="2" xfId="0" applyNumberFormat="1" applyFont="1" applyFill="1" applyBorder="1" applyAlignment="1"/>
    <xf numFmtId="178" fontId="31" fillId="0" borderId="1" xfId="0" applyNumberFormat="1" applyFont="1" applyFill="1" applyBorder="1" applyAlignment="1"/>
    <xf numFmtId="182" fontId="31" fillId="0" borderId="8" xfId="0" applyNumberFormat="1" applyFont="1" applyFill="1" applyBorder="1" applyAlignment="1"/>
    <xf numFmtId="179" fontId="31" fillId="0" borderId="8" xfId="0" applyNumberFormat="1" applyFont="1" applyFill="1" applyBorder="1" applyAlignment="1"/>
    <xf numFmtId="181" fontId="6" fillId="0" borderId="2" xfId="0" applyNumberFormat="1" applyFont="1" applyFill="1" applyBorder="1" applyAlignment="1">
      <alignment horizontal="center" vertical="center"/>
    </xf>
    <xf numFmtId="0" fontId="28" fillId="0" borderId="2" xfId="0" applyFont="1" applyFill="1" applyBorder="1" applyAlignment="1"/>
    <xf numFmtId="178" fontId="31" fillId="0" borderId="2" xfId="0" applyNumberFormat="1" applyFont="1" applyFill="1" applyBorder="1" applyAlignment="1"/>
    <xf numFmtId="178" fontId="33" fillId="0" borderId="0" xfId="0" applyNumberFormat="1" applyFont="1" applyFill="1">
      <alignment vertical="center"/>
    </xf>
    <xf numFmtId="0" fontId="6" fillId="0" borderId="2" xfId="0" applyFont="1" applyFill="1" applyBorder="1" applyAlignment="1"/>
    <xf numFmtId="0" fontId="15" fillId="0" borderId="0" xfId="0" applyFont="1" applyFill="1" applyBorder="1" applyAlignment="1">
      <alignment vertical="center"/>
    </xf>
    <xf numFmtId="0" fontId="22" fillId="0" borderId="0" xfId="0" applyFont="1" applyFill="1" applyBorder="1" applyAlignment="1">
      <alignment vertical="center"/>
    </xf>
    <xf numFmtId="0" fontId="15" fillId="0" borderId="0" xfId="0" applyFont="1" applyFill="1" applyBorder="1" applyAlignment="1">
      <alignment wrapText="1"/>
    </xf>
    <xf numFmtId="176" fontId="21" fillId="0" borderId="2" xfId="118" applyNumberFormat="1"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23" fillId="0" borderId="0" xfId="0" applyFont="1" applyFill="1" applyBorder="1" applyAlignment="1">
      <alignment horizontal="right"/>
    </xf>
    <xf numFmtId="0" fontId="25" fillId="0" borderId="2" xfId="112" applyFont="1" applyFill="1" applyBorder="1" applyAlignment="1">
      <alignment horizontal="center" vertical="center" wrapText="1"/>
    </xf>
    <xf numFmtId="180" fontId="32" fillId="0" borderId="2" xfId="0" applyNumberFormat="1" applyFont="1" applyFill="1" applyBorder="1" applyAlignment="1">
      <alignment horizontal="center" vertical="center"/>
    </xf>
    <xf numFmtId="178" fontId="15" fillId="0" borderId="0" xfId="0" applyNumberFormat="1" applyFont="1" applyFill="1" applyBorder="1" applyAlignment="1">
      <alignment horizontal="center" vertical="center"/>
    </xf>
    <xf numFmtId="0" fontId="15" fillId="0" borderId="0" xfId="0" applyFont="1" applyFill="1" applyAlignment="1"/>
    <xf numFmtId="179" fontId="34" fillId="0" borderId="0" xfId="0" applyNumberFormat="1" applyFont="1" applyFill="1" applyBorder="1" applyAlignment="1"/>
    <xf numFmtId="0" fontId="35" fillId="0" borderId="0" xfId="0" applyFont="1" applyFill="1" applyBorder="1" applyAlignment="1"/>
    <xf numFmtId="176" fontId="6" fillId="0" borderId="0" xfId="0" applyNumberFormat="1" applyFont="1" applyFill="1" applyAlignment="1">
      <alignment horizontal="center" vertical="center"/>
    </xf>
    <xf numFmtId="176" fontId="16" fillId="0" borderId="0" xfId="0" applyNumberFormat="1" applyFont="1" applyFill="1" applyAlignment="1">
      <alignment horizontal="center" vertical="center"/>
    </xf>
    <xf numFmtId="181" fontId="17" fillId="0" borderId="0" xfId="0" applyNumberFormat="1" applyFont="1" applyFill="1" applyAlignment="1">
      <alignment horizontal="left" vertical="center"/>
    </xf>
    <xf numFmtId="176" fontId="15" fillId="0" borderId="3" xfId="0" applyNumberFormat="1" applyFont="1" applyFill="1" applyBorder="1" applyAlignment="1">
      <alignment horizontal="center" vertical="center"/>
    </xf>
    <xf numFmtId="176" fontId="30" fillId="0" borderId="1" xfId="0" applyNumberFormat="1" applyFont="1" applyFill="1" applyBorder="1" applyAlignment="1">
      <alignment horizontal="center" vertical="center" wrapText="1"/>
    </xf>
    <xf numFmtId="176" fontId="30" fillId="0" borderId="6" xfId="0" applyNumberFormat="1" applyFont="1" applyFill="1" applyBorder="1" applyAlignment="1">
      <alignment horizontal="center" vertical="center"/>
    </xf>
    <xf numFmtId="176" fontId="30" fillId="0" borderId="7" xfId="0" applyNumberFormat="1" applyFont="1" applyFill="1" applyBorder="1" applyAlignment="1">
      <alignment horizontal="center" vertical="center"/>
    </xf>
    <xf numFmtId="176" fontId="30" fillId="0" borderId="8"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wrapText="1"/>
    </xf>
    <xf numFmtId="176" fontId="30" fillId="0" borderId="5" xfId="0" applyNumberFormat="1" applyFont="1" applyFill="1" applyBorder="1" applyAlignment="1">
      <alignment horizontal="center" vertical="center" wrapText="1"/>
    </xf>
    <xf numFmtId="176" fontId="30" fillId="0" borderId="2" xfId="0" applyNumberFormat="1" applyFont="1" applyFill="1" applyBorder="1" applyAlignment="1">
      <alignment horizontal="center" vertical="center"/>
    </xf>
    <xf numFmtId="0" fontId="31" fillId="0" borderId="2" xfId="0" applyFont="1" applyFill="1" applyBorder="1" applyAlignment="1">
      <alignment vertical="center" wrapText="1"/>
    </xf>
    <xf numFmtId="176" fontId="31" fillId="0" borderId="2" xfId="0" applyNumberFormat="1" applyFont="1" applyFill="1" applyBorder="1" applyAlignment="1">
      <alignment horizontal="center" vertical="center"/>
    </xf>
    <xf numFmtId="176" fontId="19" fillId="0" borderId="2" xfId="0" applyNumberFormat="1" applyFont="1" applyFill="1" applyBorder="1" applyAlignment="1">
      <alignment horizontal="center" vertical="center"/>
    </xf>
    <xf numFmtId="0" fontId="31" fillId="0" borderId="2" xfId="0" applyFont="1" applyFill="1" applyBorder="1" applyAlignment="1">
      <alignment horizontal="center" vertical="center" wrapText="1"/>
    </xf>
    <xf numFmtId="176" fontId="30" fillId="0" borderId="1" xfId="0" applyNumberFormat="1" applyFont="1" applyFill="1" applyBorder="1" applyAlignment="1">
      <alignment horizontal="center" vertical="center"/>
    </xf>
    <xf numFmtId="176" fontId="29" fillId="0" borderId="2"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179" fontId="31" fillId="0" borderId="2" xfId="0" applyNumberFormat="1" applyFont="1" applyFill="1" applyBorder="1" applyAlignment="1">
      <alignment horizontal="center"/>
    </xf>
    <xf numFmtId="0" fontId="29" fillId="0" borderId="2" xfId="0" applyFont="1" applyFill="1" applyBorder="1" applyAlignment="1"/>
    <xf numFmtId="181" fontId="29" fillId="0" borderId="2" xfId="0" applyNumberFormat="1" applyFont="1" applyFill="1" applyBorder="1" applyAlignment="1">
      <alignment horizontal="center" vertical="center"/>
    </xf>
    <xf numFmtId="181" fontId="36" fillId="0" borderId="2" xfId="0" applyNumberFormat="1" applyFont="1" applyFill="1" applyBorder="1" applyAlignment="1">
      <alignment horizontal="center" vertical="center"/>
    </xf>
    <xf numFmtId="176" fontId="36" fillId="0" borderId="2" xfId="0" applyNumberFormat="1" applyFont="1" applyFill="1" applyBorder="1" applyAlignment="1">
      <alignment horizontal="center" vertical="center"/>
    </xf>
    <xf numFmtId="176" fontId="31" fillId="0" borderId="2" xfId="0" applyNumberFormat="1" applyFont="1" applyFill="1" applyBorder="1" applyAlignment="1">
      <alignment horizontal="center" vertical="center" wrapText="1"/>
    </xf>
    <xf numFmtId="176" fontId="35" fillId="0" borderId="2" xfId="130" applyNumberFormat="1" applyFont="1" applyFill="1" applyBorder="1" applyAlignment="1">
      <alignment horizontal="center" vertical="center" wrapText="1"/>
    </xf>
    <xf numFmtId="176" fontId="35" fillId="0" borderId="2" xfId="130" applyNumberFormat="1" applyFont="1" applyFill="1" applyBorder="1" applyAlignment="1">
      <alignment horizontal="center" vertical="center"/>
    </xf>
    <xf numFmtId="0" fontId="36" fillId="0" borderId="2" xfId="0" applyFont="1" applyFill="1" applyBorder="1" applyAlignment="1"/>
    <xf numFmtId="49" fontId="35" fillId="0" borderId="0" xfId="0" applyNumberFormat="1" applyFont="1" applyFill="1" applyBorder="1" applyAlignment="1">
      <alignment horizontal="center" vertical="center"/>
    </xf>
    <xf numFmtId="180" fontId="35" fillId="0" borderId="0" xfId="0" applyNumberFormat="1" applyFont="1" applyFill="1" applyBorder="1" applyAlignment="1"/>
    <xf numFmtId="0" fontId="35" fillId="0" borderId="2" xfId="0" applyFont="1" applyFill="1" applyBorder="1" applyAlignment="1"/>
    <xf numFmtId="0" fontId="37" fillId="0" borderId="10" xfId="0" applyFont="1" applyFill="1" applyBorder="1" applyAlignment="1">
      <alignment horizontal="left" vertical="center" wrapText="1"/>
    </xf>
    <xf numFmtId="0" fontId="17" fillId="0" borderId="0" xfId="0" applyFont="1" applyFill="1" applyBorder="1" applyAlignment="1">
      <alignment vertical="center"/>
    </xf>
    <xf numFmtId="0" fontId="17" fillId="0" borderId="0" xfId="0" applyFont="1" applyFill="1" applyBorder="1" applyAlignment="1">
      <alignment wrapText="1"/>
    </xf>
    <xf numFmtId="49"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0" fontId="38" fillId="0" borderId="0" xfId="0" applyFont="1" applyFill="1" applyBorder="1" applyAlignment="1" applyProtection="1">
      <alignment horizontal="center"/>
      <protection locked="0"/>
    </xf>
    <xf numFmtId="31" fontId="19" fillId="0" borderId="3" xfId="0" applyNumberFormat="1" applyFont="1" applyFill="1" applyBorder="1" applyAlignment="1">
      <alignment horizontal="left" wrapText="1"/>
    </xf>
    <xf numFmtId="31" fontId="19" fillId="0" borderId="3" xfId="0" applyNumberFormat="1" applyFont="1" applyFill="1" applyBorder="1" applyAlignment="1">
      <alignment wrapText="1"/>
    </xf>
    <xf numFmtId="31" fontId="19" fillId="0" borderId="3" xfId="0" applyNumberFormat="1" applyFont="1" applyFill="1" applyBorder="1" applyAlignment="1">
      <alignment horizontal="center" wrapText="1"/>
    </xf>
    <xf numFmtId="0" fontId="18" fillId="0" borderId="1" xfId="0" applyFont="1" applyFill="1" applyBorder="1" applyAlignment="1" applyProtection="1">
      <alignment horizontal="center" vertical="center" wrapText="1"/>
      <protection locked="0"/>
    </xf>
    <xf numFmtId="183" fontId="18" fillId="0" borderId="11" xfId="0" applyNumberFormat="1" applyFont="1" applyFill="1" applyBorder="1" applyAlignment="1" applyProtection="1">
      <alignment horizontal="center" vertical="center" wrapText="1"/>
      <protection locked="0"/>
    </xf>
    <xf numFmtId="183" fontId="18" fillId="0" borderId="12" xfId="0" applyNumberFormat="1" applyFont="1" applyFill="1" applyBorder="1" applyAlignment="1" applyProtection="1">
      <alignment horizontal="center" vertical="center" wrapText="1"/>
      <protection locked="0"/>
    </xf>
    <xf numFmtId="183" fontId="18" fillId="0" borderId="13" xfId="0" applyNumberFormat="1"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183" fontId="18" fillId="0" borderId="2"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vertical="center" wrapText="1"/>
      <protection locked="0"/>
    </xf>
    <xf numFmtId="176" fontId="20" fillId="0" borderId="2" xfId="0" applyNumberFormat="1" applyFont="1" applyFill="1" applyBorder="1" applyAlignment="1" applyProtection="1">
      <alignment horizontal="center" vertical="center"/>
    </xf>
    <xf numFmtId="176" fontId="20" fillId="0" borderId="5" xfId="0" applyNumberFormat="1" applyFont="1" applyFill="1" applyBorder="1" applyAlignment="1" applyProtection="1">
      <alignment horizontal="center" vertical="center"/>
    </xf>
    <xf numFmtId="176" fontId="20" fillId="0" borderId="2" xfId="0" applyNumberFormat="1" applyFont="1" applyFill="1" applyBorder="1" applyAlignment="1">
      <alignment horizontal="right" vertical="center"/>
    </xf>
    <xf numFmtId="176" fontId="20" fillId="0" borderId="2" xfId="0" applyNumberFormat="1" applyFont="1" applyFill="1" applyBorder="1" applyAlignment="1">
      <alignment horizontal="center" vertical="center"/>
    </xf>
    <xf numFmtId="0" fontId="22" fillId="0" borderId="2" xfId="0" applyNumberFormat="1" applyFont="1" applyFill="1" applyBorder="1" applyAlignment="1">
      <alignment horizontal="left" vertical="center" wrapText="1"/>
    </xf>
    <xf numFmtId="0" fontId="15" fillId="0" borderId="2" xfId="0" applyFont="1" applyFill="1" applyBorder="1" applyAlignment="1" applyProtection="1">
      <alignment vertical="center" wrapText="1"/>
      <protection locked="0"/>
    </xf>
    <xf numFmtId="0" fontId="15" fillId="0" borderId="2" xfId="0" applyFont="1" applyFill="1" applyBorder="1" applyAlignment="1">
      <alignment horizontal="left" vertical="center" wrapText="1"/>
    </xf>
    <xf numFmtId="0" fontId="22" fillId="0" borderId="2" xfId="0" applyFont="1" applyFill="1" applyBorder="1" applyAlignment="1">
      <alignment vertical="center" wrapText="1"/>
    </xf>
    <xf numFmtId="0" fontId="15" fillId="0" borderId="2" xfId="0" applyFont="1" applyFill="1" applyBorder="1" applyAlignment="1">
      <alignment vertical="center" wrapText="1"/>
    </xf>
    <xf numFmtId="0" fontId="22" fillId="0" borderId="2" xfId="0" applyFont="1" applyFill="1" applyBorder="1" applyAlignment="1">
      <alignment horizontal="left" vertical="center" wrapText="1"/>
    </xf>
    <xf numFmtId="0" fontId="15" fillId="0" borderId="2" xfId="0" applyFont="1" applyFill="1" applyBorder="1" applyAlignment="1" applyProtection="1">
      <alignment horizontal="left" vertical="center" wrapText="1"/>
      <protection locked="0"/>
    </xf>
    <xf numFmtId="179" fontId="19" fillId="0" borderId="0" xfId="0" applyNumberFormat="1" applyFont="1" applyFill="1" applyBorder="1" applyAlignment="1">
      <alignment horizontal="right" wrapText="1"/>
    </xf>
    <xf numFmtId="179" fontId="19" fillId="0" borderId="3" xfId="0" applyNumberFormat="1" applyFont="1" applyFill="1" applyBorder="1" applyAlignment="1">
      <alignment horizontal="right" wrapText="1"/>
    </xf>
    <xf numFmtId="0" fontId="17" fillId="0" borderId="0" xfId="0" applyFont="1" applyFill="1" applyBorder="1" applyAlignment="1">
      <alignment horizontal="right" wrapText="1"/>
    </xf>
    <xf numFmtId="179" fontId="18" fillId="0" borderId="11" xfId="0" applyNumberFormat="1" applyFont="1" applyFill="1" applyBorder="1" applyAlignment="1" applyProtection="1">
      <alignment horizontal="center" vertical="center" wrapText="1"/>
      <protection locked="0"/>
    </xf>
    <xf numFmtId="179" fontId="18" fillId="0" borderId="12" xfId="0" applyNumberFormat="1"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183" fontId="18" fillId="0" borderId="1" xfId="0" applyNumberFormat="1" applyFont="1" applyFill="1" applyBorder="1" applyAlignment="1" applyProtection="1">
      <alignment horizontal="center" vertical="center" wrapText="1"/>
      <protection locked="0"/>
    </xf>
    <xf numFmtId="179" fontId="18" fillId="0" borderId="2" xfId="0" applyNumberFormat="1" applyFont="1" applyFill="1" applyBorder="1" applyAlignment="1" applyProtection="1">
      <alignment horizontal="center" vertical="center" wrapText="1"/>
      <protection locked="0"/>
    </xf>
    <xf numFmtId="179" fontId="18" fillId="0" borderId="1" xfId="0" applyNumberFormat="1" applyFont="1" applyFill="1" applyBorder="1" applyAlignment="1" applyProtection="1">
      <alignment horizontal="center" vertical="center" wrapText="1"/>
      <protection locked="0"/>
    </xf>
    <xf numFmtId="183" fontId="18" fillId="0" borderId="9" xfId="0" applyNumberFormat="1" applyFont="1" applyFill="1" applyBorder="1" applyAlignment="1" applyProtection="1">
      <alignment horizontal="center" vertical="center" wrapText="1"/>
      <protection locked="0"/>
    </xf>
    <xf numFmtId="176" fontId="20" fillId="0" borderId="5" xfId="0" applyNumberFormat="1" applyFont="1" applyFill="1" applyBorder="1" applyAlignment="1" applyProtection="1">
      <alignment horizontal="right" vertical="center"/>
    </xf>
    <xf numFmtId="179" fontId="20" fillId="0" borderId="2" xfId="0" applyNumberFormat="1" applyFont="1" applyFill="1" applyBorder="1" applyAlignment="1">
      <alignment horizontal="right" vertical="center"/>
    </xf>
    <xf numFmtId="179" fontId="20" fillId="0" borderId="5" xfId="0" applyNumberFormat="1" applyFont="1" applyFill="1" applyBorder="1" applyAlignment="1" applyProtection="1">
      <alignment horizontal="right" vertical="center"/>
    </xf>
    <xf numFmtId="0" fontId="17" fillId="0" borderId="2" xfId="0" applyFont="1" applyFill="1" applyBorder="1" applyAlignment="1">
      <alignment horizontal="center"/>
    </xf>
    <xf numFmtId="49" fontId="15" fillId="0" borderId="2" xfId="0" applyNumberFormat="1" applyFont="1" applyFill="1" applyBorder="1" applyAlignment="1" applyProtection="1">
      <alignment horizontal="left" vertical="center" wrapText="1"/>
      <protection locked="0"/>
    </xf>
    <xf numFmtId="180" fontId="20" fillId="0" borderId="2" xfId="0" applyNumberFormat="1" applyFont="1" applyFill="1" applyBorder="1" applyAlignment="1">
      <alignment horizontal="center" vertical="center"/>
    </xf>
    <xf numFmtId="180" fontId="17" fillId="0" borderId="2" xfId="0" applyNumberFormat="1" applyFont="1" applyFill="1" applyBorder="1" applyAlignment="1">
      <alignment horizontal="center"/>
    </xf>
    <xf numFmtId="0" fontId="15" fillId="0" borderId="0" xfId="0" applyFont="1" applyFill="1" applyBorder="1" applyAlignment="1">
      <alignment vertical="center" wrapText="1"/>
    </xf>
    <xf numFmtId="179" fontId="15" fillId="0" borderId="0" xfId="0" applyNumberFormat="1" applyFont="1" applyFill="1" applyBorder="1" applyAlignment="1">
      <alignment vertical="center"/>
    </xf>
    <xf numFmtId="179" fontId="15" fillId="0" borderId="0" xfId="0" applyNumberFormat="1" applyFont="1" applyFill="1" applyBorder="1" applyAlignment="1">
      <alignment horizontal="center" vertical="center"/>
    </xf>
    <xf numFmtId="0" fontId="38" fillId="0" borderId="0" xfId="112" applyFont="1" applyFill="1" applyBorder="1" applyAlignment="1">
      <alignment horizontal="center" vertical="center"/>
    </xf>
    <xf numFmtId="31" fontId="15" fillId="0" borderId="0" xfId="112" applyNumberFormat="1" applyFont="1" applyFill="1" applyAlignment="1">
      <alignment horizontal="left" wrapText="1"/>
    </xf>
    <xf numFmtId="180" fontId="15" fillId="0" borderId="0" xfId="112" applyNumberFormat="1" applyFont="1" applyFill="1" applyBorder="1" applyAlignment="1">
      <alignment horizontal="center" vertical="center"/>
    </xf>
    <xf numFmtId="180" fontId="15" fillId="0" borderId="3" xfId="112" applyNumberFormat="1" applyFont="1" applyFill="1" applyBorder="1" applyAlignment="1">
      <alignment horizontal="center" vertical="center"/>
    </xf>
    <xf numFmtId="10" fontId="15" fillId="0" borderId="3" xfId="112" applyNumberFormat="1" applyFont="1" applyFill="1" applyBorder="1" applyAlignment="1">
      <alignment horizontal="right" vertical="center"/>
    </xf>
    <xf numFmtId="0" fontId="19" fillId="0" borderId="1" xfId="112" applyFont="1" applyFill="1" applyBorder="1" applyAlignment="1">
      <alignment horizontal="center" vertical="center" wrapText="1"/>
    </xf>
    <xf numFmtId="0" fontId="19" fillId="0" borderId="6" xfId="112" applyFont="1" applyFill="1" applyBorder="1" applyAlignment="1">
      <alignment horizontal="center" vertical="center" wrapText="1"/>
    </xf>
    <xf numFmtId="0" fontId="19" fillId="0" borderId="7" xfId="112" applyFont="1" applyFill="1" applyBorder="1" applyAlignment="1">
      <alignment horizontal="center" vertical="center" wrapText="1"/>
    </xf>
    <xf numFmtId="0" fontId="19" fillId="0" borderId="8"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9" fillId="0" borderId="12" xfId="112" applyFont="1" applyFill="1" applyBorder="1" applyAlignment="1">
      <alignment horizontal="center" vertical="center" wrapText="1"/>
    </xf>
    <xf numFmtId="0" fontId="19" fillId="0" borderId="13" xfId="112"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112" applyFont="1" applyFill="1" applyBorder="1" applyAlignment="1">
      <alignment horizontal="center" vertical="center" wrapText="1"/>
    </xf>
    <xf numFmtId="0" fontId="22" fillId="0" borderId="2" xfId="112" applyFont="1" applyFill="1" applyBorder="1" applyAlignment="1">
      <alignment vertical="center" wrapText="1"/>
    </xf>
    <xf numFmtId="176" fontId="22" fillId="0" borderId="2" xfId="112" applyNumberFormat="1" applyFont="1" applyFill="1" applyBorder="1" applyAlignment="1">
      <alignment horizontal="center" vertical="center"/>
    </xf>
    <xf numFmtId="176" fontId="22" fillId="0" borderId="2" xfId="112" applyNumberFormat="1" applyFont="1" applyFill="1" applyBorder="1" applyAlignment="1">
      <alignment horizontal="right" vertical="center"/>
    </xf>
    <xf numFmtId="0" fontId="22" fillId="0" borderId="2" xfId="112" applyFont="1" applyFill="1" applyBorder="1" applyAlignment="1">
      <alignment horizontal="left" vertical="center" wrapText="1"/>
    </xf>
    <xf numFmtId="0" fontId="15" fillId="0" borderId="2" xfId="112" applyFont="1" applyFill="1" applyBorder="1" applyAlignment="1">
      <alignment vertical="center" wrapText="1"/>
    </xf>
    <xf numFmtId="176" fontId="15" fillId="0" borderId="2" xfId="112" applyNumberFormat="1" applyFont="1" applyFill="1" applyBorder="1" applyAlignment="1">
      <alignment horizontal="center" vertical="center"/>
    </xf>
    <xf numFmtId="176" fontId="15" fillId="0" borderId="2" xfId="112" applyNumberFormat="1" applyFont="1" applyFill="1" applyBorder="1" applyAlignment="1">
      <alignment horizontal="right" vertical="center"/>
    </xf>
    <xf numFmtId="0" fontId="15" fillId="0" borderId="2" xfId="112" applyFont="1" applyFill="1" applyBorder="1" applyAlignment="1">
      <alignment horizontal="left" vertical="center" wrapText="1"/>
    </xf>
    <xf numFmtId="176" fontId="17" fillId="0" borderId="2" xfId="112" applyNumberFormat="1" applyFont="1" applyFill="1" applyBorder="1" applyAlignment="1">
      <alignment horizontal="center" vertical="center"/>
    </xf>
    <xf numFmtId="176" fontId="35" fillId="0" borderId="2" xfId="112" applyNumberFormat="1" applyFont="1" applyFill="1" applyBorder="1" applyAlignment="1">
      <alignment horizontal="center" vertical="center"/>
    </xf>
    <xf numFmtId="176" fontId="36" fillId="0" borderId="2" xfId="112" applyNumberFormat="1" applyFont="1" applyFill="1" applyBorder="1" applyAlignment="1">
      <alignment horizontal="center" vertical="center"/>
    </xf>
    <xf numFmtId="0" fontId="15" fillId="0" borderId="2" xfId="0" applyFont="1" applyFill="1" applyBorder="1" applyAlignment="1">
      <alignment vertical="center"/>
    </xf>
    <xf numFmtId="179" fontId="38" fillId="0" borderId="0" xfId="112" applyNumberFormat="1" applyFont="1" applyFill="1" applyBorder="1" applyAlignment="1">
      <alignment horizontal="center" vertical="center"/>
    </xf>
    <xf numFmtId="179" fontId="15" fillId="0" borderId="3" xfId="112" applyNumberFormat="1" applyFont="1" applyFill="1" applyBorder="1" applyAlignment="1">
      <alignment horizontal="righ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179" fontId="19" fillId="0" borderId="6" xfId="0" applyNumberFormat="1" applyFont="1" applyFill="1" applyBorder="1" applyAlignment="1">
      <alignment horizontal="center" vertical="center" wrapText="1"/>
    </xf>
    <xf numFmtId="179" fontId="19" fillId="0" borderId="7" xfId="0" applyNumberFormat="1" applyFont="1" applyFill="1" applyBorder="1" applyAlignment="1">
      <alignment horizontal="center" vertical="center" wrapText="1"/>
    </xf>
    <xf numFmtId="179" fontId="19" fillId="0" borderId="8" xfId="0" applyNumberFormat="1" applyFont="1" applyFill="1" applyBorder="1" applyAlignment="1">
      <alignment horizontal="center" vertical="center" wrapText="1"/>
    </xf>
    <xf numFmtId="179" fontId="19" fillId="0" borderId="2" xfId="112" applyNumberFormat="1" applyFont="1" applyFill="1" applyBorder="1" applyAlignment="1">
      <alignment horizontal="center" vertical="center" wrapText="1"/>
    </xf>
    <xf numFmtId="179" fontId="22" fillId="0" borderId="2" xfId="112" applyNumberFormat="1" applyFont="1" applyFill="1" applyBorder="1" applyAlignment="1">
      <alignment horizontal="right" vertical="center"/>
    </xf>
    <xf numFmtId="179" fontId="22" fillId="0" borderId="2" xfId="112" applyNumberFormat="1" applyFont="1" applyFill="1" applyBorder="1" applyAlignment="1">
      <alignment horizontal="center" vertical="center"/>
    </xf>
    <xf numFmtId="179" fontId="15" fillId="0" borderId="2" xfId="112" applyNumberFormat="1" applyFont="1" applyFill="1" applyBorder="1" applyAlignment="1">
      <alignment horizontal="right" vertical="center"/>
    </xf>
    <xf numFmtId="179" fontId="15" fillId="0" borderId="2" xfId="112" applyNumberFormat="1" applyFont="1" applyFill="1" applyBorder="1" applyAlignment="1">
      <alignment horizontal="center" vertical="center"/>
    </xf>
    <xf numFmtId="10" fontId="15" fillId="0" borderId="0" xfId="14" applyNumberFormat="1" applyFont="1" applyFill="1" applyBorder="1" applyAlignment="1">
      <alignment vertical="center"/>
    </xf>
  </cellXfs>
  <cellStyles count="132">
    <cellStyle name="常规" xfId="0" builtinId="0"/>
    <cellStyle name="货币[0]" xfId="1" builtinId="7"/>
    <cellStyle name="20% - 强调文字颜色 3" xfId="2" builtinId="38"/>
    <cellStyle name="输入" xfId="3" builtinId="20"/>
    <cellStyle name="货币" xfId="4" builtinId="4"/>
    <cellStyle name="Accent2 - 20% 2" xfId="5"/>
    <cellStyle name="千位分隔[0]" xfId="6" builtinId="6"/>
    <cellStyle name="Accent2 - 40%" xfId="7"/>
    <cellStyle name="40% - 强调文字颜色 3" xfId="8" builtinId="39"/>
    <cellStyle name="差" xfId="9" builtinId="27"/>
    <cellStyle name="千位分隔" xfId="10" builtinId="3"/>
    <cellStyle name="超链接" xfId="11" builtinId="8"/>
    <cellStyle name="Accent2 - 60%" xfId="12"/>
    <cellStyle name="60% - 强调文字颜色 3" xfId="13" builtinId="40"/>
    <cellStyle name="百分比" xfId="14" builtinId="5"/>
    <cellStyle name="Accent1 - 40% 2" xfId="15"/>
    <cellStyle name="已访问的超链接" xfId="16" builtinId="9"/>
    <cellStyle name="注释" xfId="17" builtinId="10"/>
    <cellStyle name="60% - 强调文字颜色 2" xfId="18" builtinId="36"/>
    <cellStyle name="Accent6 3" xfId="19"/>
    <cellStyle name="标题 4" xfId="20" builtinId="19"/>
    <cellStyle name="警告文本" xfId="21" builtinId="11"/>
    <cellStyle name="标题" xfId="22" builtinId="15"/>
    <cellStyle name="解释性文本" xfId="23" builtinId="53"/>
    <cellStyle name="常规_2019年项目调整表最新2019.11.21修改 2" xfId="24"/>
    <cellStyle name="标题 1" xfId="25" builtinId="16"/>
    <cellStyle name="标题 2" xfId="26" builtinId="17"/>
    <cellStyle name="60% - 强调文字颜色 1" xfId="27" builtinId="32"/>
    <cellStyle name="Accent6 2" xfId="28"/>
    <cellStyle name="标题 3" xfId="29" builtinId="18"/>
    <cellStyle name="Accent1 2" xfId="30"/>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常规_2018年预算调整表12.24(不得以修改报闽侯上会定稿)_2019年项目调整表最新2019.11.7（基金修改） 2" xfId="47"/>
    <cellStyle name="强调文字颜色 3" xfId="48" builtinId="37"/>
    <cellStyle name="Accent2 - 40% 2" xfId="49"/>
    <cellStyle name="常规_2019年项目调整表最新2019.11.21修改" xfId="50"/>
    <cellStyle name="Accent1 - 60% 2" xfId="51"/>
    <cellStyle name="强调文字颜色 4" xfId="52" builtinId="41"/>
    <cellStyle name="Accent1 - 20% 2" xfId="53"/>
    <cellStyle name="20% - 强调文字颜色 4" xfId="54" builtinId="42"/>
    <cellStyle name="40% - 强调文字颜色 4" xfId="55" builtinId="43"/>
    <cellStyle name="强调文字颜色 5" xfId="56" builtinId="45"/>
    <cellStyle name="40% - 强调文字颜色 5" xfId="57" builtinId="47"/>
    <cellStyle name="Accent1 3" xfId="58"/>
    <cellStyle name="60% - 强调文字颜色 5" xfId="59" builtinId="48"/>
    <cellStyle name="强调文字颜色 6" xfId="60" builtinId="49"/>
    <cellStyle name="40% - 强调文字颜色 6" xfId="61" builtinId="51"/>
    <cellStyle name="60% - 强调文字颜色 6" xfId="62" builtinId="52"/>
    <cellStyle name="Accent1" xfId="63"/>
    <cellStyle name="Accent1 - 20%" xfId="64"/>
    <cellStyle name="Accent1 - 40%" xfId="65"/>
    <cellStyle name="Accent1 - 60%" xfId="66"/>
    <cellStyle name="Accent2" xfId="67"/>
    <cellStyle name="差_2019年项目调整表最新2019.11.21修改1" xfId="68"/>
    <cellStyle name="Accent2 - 20%" xfId="69"/>
    <cellStyle name="超链接 2" xfId="70"/>
    <cellStyle name="Accent2 - 60% 2" xfId="71"/>
    <cellStyle name="Accent2 2" xfId="72"/>
    <cellStyle name="Accent2 3" xfId="73"/>
    <cellStyle name="Accent3" xfId="74"/>
    <cellStyle name="Accent3 - 20%" xfId="75"/>
    <cellStyle name="Accent5 2" xfId="76"/>
    <cellStyle name="Accent3 - 20% 2" xfId="77"/>
    <cellStyle name="Accent3 - 40%" xfId="78"/>
    <cellStyle name="Accent3 - 40% 2" xfId="79"/>
    <cellStyle name="Accent3 - 60%" xfId="80"/>
    <cellStyle name="Accent3 - 60% 2" xfId="81"/>
    <cellStyle name="Accent3 2" xfId="82"/>
    <cellStyle name="Accent3 3" xfId="83"/>
    <cellStyle name="Accent4" xfId="84"/>
    <cellStyle name="Accent4 - 20%" xfId="85"/>
    <cellStyle name="Accent4 - 20% 2" xfId="86"/>
    <cellStyle name="Accent4 - 40%" xfId="87"/>
    <cellStyle name="Accent4 - 40% 2" xfId="88"/>
    <cellStyle name="Accent6 - 40%" xfId="89"/>
    <cellStyle name="Accent4 - 60%" xfId="90"/>
    <cellStyle name="Accent4 - 60% 2" xfId="91"/>
    <cellStyle name="Accent4 2" xfId="92"/>
    <cellStyle name="Accent6" xfId="93"/>
    <cellStyle name="Accent4 3" xfId="94"/>
    <cellStyle name="Accent5" xfId="95"/>
    <cellStyle name="Accent5 - 20%" xfId="96"/>
    <cellStyle name="Accent5 - 20% 2" xfId="97"/>
    <cellStyle name="Accent5 - 40%" xfId="98"/>
    <cellStyle name="Accent5 - 40% 2" xfId="99"/>
    <cellStyle name="Accent5 - 60%" xfId="100"/>
    <cellStyle name="Accent5 - 60% 2" xfId="101"/>
    <cellStyle name="Accent5 3" xfId="102"/>
    <cellStyle name="Accent6 - 20%" xfId="103"/>
    <cellStyle name="Accent6 - 20% 2" xfId="104"/>
    <cellStyle name="Accent6 - 40% 2" xfId="105"/>
    <cellStyle name="Accent6 - 60%" xfId="106"/>
    <cellStyle name="Accent6 - 60% 2" xfId="107"/>
    <cellStyle name="表标题" xfId="108"/>
    <cellStyle name="表标题 2" xfId="109"/>
    <cellStyle name="差_2019年项目调整表最新2019.11.21李晓成" xfId="110"/>
    <cellStyle name="差_2019年项目调整表最新2019.11.21修改" xfId="111"/>
    <cellStyle name="常规 2" xfId="112"/>
    <cellStyle name="常规 2 2" xfId="113"/>
    <cellStyle name="强调 3" xfId="114"/>
    <cellStyle name="常规 2 2 2" xfId="115"/>
    <cellStyle name="强调 3 2" xfId="116"/>
    <cellStyle name="常规 2 3" xfId="117"/>
    <cellStyle name="常规 22" xfId="118"/>
    <cellStyle name="常规_2018年预算调整表12.24(不得以修改报闽侯上会定稿) 2" xfId="119"/>
    <cellStyle name="常规_2019年项目调整表最新2019.11.21修改1 2" xfId="120"/>
    <cellStyle name="好_2019年项目调整表最新2019.11.21李晓成" xfId="121"/>
    <cellStyle name="好_2019年项目调整表最新2019.11.21修改" xfId="122"/>
    <cellStyle name="好_2019年项目调整表最新2019.11.21修改1" xfId="123"/>
    <cellStyle name="强调 1" xfId="124"/>
    <cellStyle name="强调 1 2" xfId="125"/>
    <cellStyle name="强调 2" xfId="126"/>
    <cellStyle name="强调 2 2" xfId="127"/>
    <cellStyle name="常规_2018年预算调整表12.24(不得以修改报闽侯上会定稿)" xfId="128"/>
    <cellStyle name="超链接 3" xfId="129"/>
    <cellStyle name="常规_2023年9-12大额资金需求情况表修改10.31" xfId="130"/>
    <cellStyle name="常规 7" xfId="13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Chat%20Files\wxid_7aho7zwfi8bt22\FileStorage\File\2023-11\2022-2023&#24180;&#26032;&#22686;&#20538;&#21048;&#36164;&#37329;&#25903;&#20986;&#24773;&#20917;&#34920;&#65288;&#25130;&#33267;7&#26376;&#2641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年"/>
      <sheetName val="2022"/>
      <sheetName val="限额空间"/>
    </sheetNames>
    <sheetDataSet>
      <sheetData sheetId="0">
        <row r="3">
          <cell r="C3" t="str">
            <v>项目名称</v>
          </cell>
          <cell r="D3" t="str">
            <v>2023年新增债券资金额度</v>
          </cell>
        </row>
        <row r="4">
          <cell r="C4" t="str">
            <v>福州地区大学新校区防洪排涝体系溪源泄洪洞工程</v>
          </cell>
          <cell r="D4">
            <v>6500</v>
          </cell>
        </row>
        <row r="5">
          <cell r="C5" t="str">
            <v>福州市闽江下游南岸防洪六期工程</v>
          </cell>
          <cell r="D5">
            <v>3000</v>
          </cell>
        </row>
        <row r="6">
          <cell r="C6" t="str">
            <v>上街镇侯官大道工程</v>
          </cell>
          <cell r="D6">
            <v>4000</v>
          </cell>
        </row>
        <row r="7">
          <cell r="C7" t="str">
            <v>源通西路（国宾大道一源江路）及广贤路改造工程</v>
          </cell>
          <cell r="D7">
            <v>1500</v>
          </cell>
        </row>
        <row r="8">
          <cell r="C8" t="str">
            <v>竹岐中学扩建</v>
          </cell>
          <cell r="D8">
            <v>3300</v>
          </cell>
        </row>
        <row r="9">
          <cell r="C9" t="str">
            <v>闽侯四中新建实验楼、体艺馆</v>
          </cell>
          <cell r="D9">
            <v>700</v>
          </cell>
        </row>
        <row r="10">
          <cell r="C10" t="str">
            <v>青口宏屿小学综合楼及附属工程建设</v>
          </cell>
          <cell r="D10">
            <v>500</v>
          </cell>
        </row>
        <row r="11">
          <cell r="C11" t="str">
            <v>罗洲南路一期（三联溪一期）道路工程</v>
          </cell>
          <cell r="D11">
            <v>3532</v>
          </cell>
        </row>
        <row r="12">
          <cell r="C12" t="str">
            <v>南通镇通洲路（二期）道路工程 </v>
          </cell>
          <cell r="D12">
            <v>1000</v>
          </cell>
        </row>
        <row r="13">
          <cell r="C13" t="str">
            <v>北环路二期道路工程</v>
          </cell>
          <cell r="D13">
            <v>1000</v>
          </cell>
        </row>
        <row r="14">
          <cell r="D14">
            <v>25032</v>
          </cell>
        </row>
        <row r="15">
          <cell r="C15" t="str">
            <v>闽侯县医院新病房大楼建设项目</v>
          </cell>
          <cell r="D15">
            <v>3500</v>
          </cell>
        </row>
        <row r="16">
          <cell r="C16" t="str">
            <v>青口东南汽车城园区水环境配套工程一期</v>
          </cell>
          <cell r="D16">
            <v>15650</v>
          </cell>
        </row>
        <row r="17">
          <cell r="C17" t="str">
            <v>汽车城青圃产业园区基础设施及配套附属项目</v>
          </cell>
          <cell r="D17">
            <v>7700</v>
          </cell>
        </row>
        <row r="18">
          <cell r="C18" t="str">
            <v>闽侯县储备粮中心库扩建项目</v>
          </cell>
          <cell r="D18">
            <v>3000</v>
          </cell>
        </row>
        <row r="19">
          <cell r="C19" t="str">
            <v>竹岐乡、鸿尾乡供水工程项目</v>
          </cell>
          <cell r="D19">
            <v>4000</v>
          </cell>
        </row>
        <row r="20">
          <cell r="C20" t="str">
            <v>福州至长乐机场城际铁路（F1线）</v>
          </cell>
          <cell r="D20">
            <v>101800</v>
          </cell>
        </row>
        <row r="21">
          <cell r="C21" t="str">
            <v>闽侯县智慧城市建设项目（一期）</v>
          </cell>
          <cell r="D21">
            <v>1300</v>
          </cell>
        </row>
        <row r="22">
          <cell r="C22" t="str">
            <v>闽侯县2023年幼儿园工程包</v>
          </cell>
          <cell r="D22">
            <v>4200</v>
          </cell>
        </row>
        <row r="23">
          <cell r="C23" t="str">
            <v>上街片区排水系统提升改造项目</v>
          </cell>
          <cell r="D23">
            <v>8100</v>
          </cell>
        </row>
        <row r="24">
          <cell r="C24" t="str">
            <v>南通镇生活污水治理项目</v>
          </cell>
          <cell r="D24">
            <v>10560</v>
          </cell>
        </row>
        <row r="25">
          <cell r="C25" t="str">
            <v>福州港口后方铁路通道杜坞至樟林至透堡段</v>
          </cell>
          <cell r="D25">
            <v>10000</v>
          </cell>
        </row>
        <row r="26">
          <cell r="C26" t="str">
            <v>汽车城奔驰产业园区基础设施及配套附属项目</v>
          </cell>
          <cell r="D26">
            <v>21000</v>
          </cell>
        </row>
        <row r="27">
          <cell r="C27" t="str">
            <v>闽侯青口汽车城东台工业园项目</v>
          </cell>
          <cell r="D27">
            <v>2500</v>
          </cell>
        </row>
        <row r="28">
          <cell r="C28" t="str">
            <v>闽侯青口汽车城兰圃产业园项目</v>
          </cell>
          <cell r="D28">
            <v>1500</v>
          </cell>
        </row>
        <row r="29">
          <cell r="C29" t="str">
            <v>闽侯汽车城七里产业园项目</v>
          </cell>
          <cell r="D29">
            <v>2500</v>
          </cell>
        </row>
        <row r="30">
          <cell r="C30" t="str">
            <v>闽侯县荆溪镇水系水质提升（污水管网）工程</v>
          </cell>
          <cell r="D30">
            <v>8000</v>
          </cell>
        </row>
        <row r="31">
          <cell r="D31">
            <v>205310</v>
          </cell>
        </row>
        <row r="32">
          <cell r="C32" t="str">
            <v>高新区智慧产业园及基础配套设施建设</v>
          </cell>
          <cell r="D32">
            <v>38300</v>
          </cell>
        </row>
        <row r="33">
          <cell r="C33" t="str">
            <v>高新区综合智能产业园及基础设施配套建设</v>
          </cell>
          <cell r="D33">
            <v>15300</v>
          </cell>
        </row>
        <row r="34">
          <cell r="C34" t="str">
            <v>两园高标准数字产业园及基础设施配套建设</v>
          </cell>
          <cell r="D34">
            <v>24300</v>
          </cell>
        </row>
        <row r="35">
          <cell r="C35" t="str">
            <v>海峡柔性实验室配套基础设施建设</v>
          </cell>
          <cell r="D35">
            <v>13000</v>
          </cell>
        </row>
        <row r="36">
          <cell r="C36" t="str">
            <v>福州高新区光电产业基地C区</v>
          </cell>
          <cell r="D36">
            <v>3000</v>
          </cell>
        </row>
        <row r="37">
          <cell r="C37" t="str">
            <v>福州高新区光电产业基地D区</v>
          </cell>
          <cell r="D37">
            <v>1000</v>
          </cell>
        </row>
        <row r="38">
          <cell r="C38" t="str">
            <v>第三代半导体数字产业园项目</v>
          </cell>
          <cell r="D38">
            <v>10000</v>
          </cell>
        </row>
        <row r="39">
          <cell r="C39" t="str">
            <v>创新园四期及相关基础配套设施建设项目</v>
          </cell>
          <cell r="D39">
            <v>3000</v>
          </cell>
        </row>
        <row r="40">
          <cell r="D40">
            <v>107900</v>
          </cell>
        </row>
        <row r="41">
          <cell r="D41">
            <v>313210</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T60"/>
  <sheetViews>
    <sheetView tabSelected="1" view="pageBreakPreview" zoomScaleNormal="100" workbookViewId="0">
      <pane xSplit="1" ySplit="4" topLeftCell="B5" activePane="bottomRight" state="frozen"/>
      <selection/>
      <selection pane="topRight"/>
      <selection pane="bottomLeft"/>
      <selection pane="bottomRight" activeCell="F60" sqref="F53 F60"/>
    </sheetView>
  </sheetViews>
  <sheetFormatPr defaultColWidth="9" defaultRowHeight="13.5"/>
  <cols>
    <col min="1" max="1" width="15.375" style="210" customWidth="1"/>
    <col min="2" max="5" width="12.25" style="122" customWidth="1"/>
    <col min="6" max="6" width="11.5" style="122" customWidth="1"/>
    <col min="7" max="7" width="12.25" style="122" customWidth="1"/>
    <col min="8" max="8" width="15.375" style="122" customWidth="1"/>
    <col min="9" max="9" width="13.375" style="122" customWidth="1"/>
    <col min="10" max="10" width="11.25" style="122" customWidth="1"/>
    <col min="11" max="12" width="9.875" style="211" customWidth="1"/>
    <col min="13" max="13" width="9.875" style="212" customWidth="1"/>
    <col min="14" max="17" width="9" style="122"/>
    <col min="18" max="19" width="12.625" style="122"/>
    <col min="20" max="20" width="13.75" style="122"/>
    <col min="21" max="16384" width="9" style="122"/>
  </cols>
  <sheetData>
    <row r="1" s="122" customFormat="1" ht="20.25" spans="1:13">
      <c r="A1" s="213" t="s">
        <v>0</v>
      </c>
      <c r="B1" s="213"/>
      <c r="C1" s="213"/>
      <c r="D1" s="213"/>
      <c r="E1" s="213"/>
      <c r="F1" s="213"/>
      <c r="G1" s="213"/>
      <c r="H1" s="213"/>
      <c r="I1" s="213"/>
      <c r="J1" s="213"/>
      <c r="K1" s="239"/>
      <c r="L1" s="239"/>
      <c r="M1" s="239"/>
    </row>
    <row r="2" s="122" customFormat="1" ht="22.5" customHeight="1" spans="1:13">
      <c r="A2" s="214" t="s">
        <v>1</v>
      </c>
      <c r="B2" s="214"/>
      <c r="C2" s="215"/>
      <c r="D2" s="215"/>
      <c r="E2" s="216" t="s">
        <v>2</v>
      </c>
      <c r="F2" s="216"/>
      <c r="G2" s="216"/>
      <c r="H2" s="217" t="s">
        <v>3</v>
      </c>
      <c r="I2" s="217"/>
      <c r="J2" s="217"/>
      <c r="K2" s="240"/>
      <c r="L2" s="240"/>
      <c r="M2" s="240"/>
    </row>
    <row r="3" s="122" customFormat="1" ht="24" customHeight="1" spans="1:13">
      <c r="A3" s="218" t="s">
        <v>4</v>
      </c>
      <c r="B3" s="219" t="s">
        <v>5</v>
      </c>
      <c r="C3" s="220"/>
      <c r="D3" s="221"/>
      <c r="E3" s="222" t="s">
        <v>6</v>
      </c>
      <c r="F3" s="223"/>
      <c r="G3" s="224"/>
      <c r="H3" s="225" t="s">
        <v>7</v>
      </c>
      <c r="I3" s="241"/>
      <c r="J3" s="242"/>
      <c r="K3" s="243" t="s">
        <v>8</v>
      </c>
      <c r="L3" s="244"/>
      <c r="M3" s="245"/>
    </row>
    <row r="4" s="122" customFormat="1" ht="24" customHeight="1" spans="1:13">
      <c r="A4" s="226"/>
      <c r="B4" s="47" t="s">
        <v>9</v>
      </c>
      <c r="C4" s="47" t="s">
        <v>10</v>
      </c>
      <c r="D4" s="47" t="s">
        <v>11</v>
      </c>
      <c r="E4" s="47" t="s">
        <v>9</v>
      </c>
      <c r="F4" s="47" t="s">
        <v>10</v>
      </c>
      <c r="G4" s="47" t="s">
        <v>11</v>
      </c>
      <c r="H4" s="47" t="s">
        <v>9</v>
      </c>
      <c r="I4" s="47" t="s">
        <v>10</v>
      </c>
      <c r="J4" s="47" t="s">
        <v>11</v>
      </c>
      <c r="K4" s="246" t="s">
        <v>9</v>
      </c>
      <c r="L4" s="246" t="s">
        <v>10</v>
      </c>
      <c r="M4" s="246" t="s">
        <v>11</v>
      </c>
    </row>
    <row r="5" s="123" customFormat="1" ht="41" customHeight="1" spans="1:13">
      <c r="A5" s="227" t="s">
        <v>12</v>
      </c>
      <c r="B5" s="228">
        <f>C5+D5</f>
        <v>2579729</v>
      </c>
      <c r="C5" s="228">
        <f t="shared" ref="C5:G5" si="0">C6+C11</f>
        <v>1972185</v>
      </c>
      <c r="D5" s="228">
        <f t="shared" si="0"/>
        <v>607544</v>
      </c>
      <c r="E5" s="228">
        <f t="shared" si="0"/>
        <v>1738007.277042</v>
      </c>
      <c r="F5" s="228">
        <f t="shared" si="0"/>
        <v>1178956.777042</v>
      </c>
      <c r="G5" s="228">
        <f t="shared" si="0"/>
        <v>559050.5</v>
      </c>
      <c r="H5" s="229">
        <f t="shared" ref="H5:H9" si="1">I5+J5</f>
        <v>-841721.722958</v>
      </c>
      <c r="I5" s="229">
        <f>F5-C5</f>
        <v>-793228.222958</v>
      </c>
      <c r="J5" s="229">
        <f>J6+J11</f>
        <v>-48493.5</v>
      </c>
      <c r="K5" s="247">
        <f t="shared" ref="K5:K22" si="2">H5/B5*100</f>
        <v>-32.628300219054</v>
      </c>
      <c r="L5" s="247">
        <f t="shared" ref="L5:L22" si="3">(F5-C5)/C5*100</f>
        <v>-40.2207816689611</v>
      </c>
      <c r="M5" s="248">
        <f t="shared" ref="M5:M15" si="4">(J5/D5)*100</f>
        <v>-7.98189102353081</v>
      </c>
    </row>
    <row r="6" s="123" customFormat="1" ht="41" customHeight="1" spans="1:13">
      <c r="A6" s="227" t="s">
        <v>13</v>
      </c>
      <c r="B6" s="228">
        <f t="shared" ref="B6:G6" si="5">B7+B8</f>
        <v>1479729</v>
      </c>
      <c r="C6" s="228">
        <f t="shared" si="5"/>
        <v>1172185</v>
      </c>
      <c r="D6" s="228">
        <f t="shared" si="5"/>
        <v>307544</v>
      </c>
      <c r="E6" s="228">
        <f t="shared" si="5"/>
        <v>1410081.802948</v>
      </c>
      <c r="F6" s="228">
        <f t="shared" si="5"/>
        <v>1021031.302948</v>
      </c>
      <c r="G6" s="228">
        <f t="shared" si="5"/>
        <v>389050.5</v>
      </c>
      <c r="H6" s="229">
        <f t="shared" si="1"/>
        <v>-69647.197052</v>
      </c>
      <c r="I6" s="229">
        <f>F6-C6</f>
        <v>-151153.697052</v>
      </c>
      <c r="J6" s="229">
        <f>G6-D6</f>
        <v>81506.5</v>
      </c>
      <c r="K6" s="247">
        <f t="shared" si="2"/>
        <v>-4.70675353743827</v>
      </c>
      <c r="L6" s="247">
        <f t="shared" si="3"/>
        <v>-12.8950376478116</v>
      </c>
      <c r="M6" s="248">
        <f t="shared" si="4"/>
        <v>26.5023866503655</v>
      </c>
    </row>
    <row r="7" s="123" customFormat="1" ht="41" customHeight="1" spans="1:13">
      <c r="A7" s="227" t="s">
        <v>14</v>
      </c>
      <c r="B7" s="228">
        <f t="shared" ref="B7:G7" si="6">B12-B9</f>
        <v>432054</v>
      </c>
      <c r="C7" s="228">
        <f t="shared" si="6"/>
        <v>349380</v>
      </c>
      <c r="D7" s="228">
        <f t="shared" si="6"/>
        <v>82674</v>
      </c>
      <c r="E7" s="228">
        <f t="shared" si="6"/>
        <v>505290.7991275</v>
      </c>
      <c r="F7" s="228">
        <f t="shared" si="6"/>
        <v>390113.2991275</v>
      </c>
      <c r="G7" s="228">
        <f t="shared" si="6"/>
        <v>115177.5</v>
      </c>
      <c r="H7" s="229">
        <f t="shared" si="1"/>
        <v>73236.7991275</v>
      </c>
      <c r="I7" s="229">
        <f t="shared" ref="I5:I9" si="7">F7-C7</f>
        <v>40733.2991275</v>
      </c>
      <c r="J7" s="229">
        <f>G7-D7</f>
        <v>32503.5</v>
      </c>
      <c r="K7" s="247">
        <f t="shared" si="2"/>
        <v>16.9508439055072</v>
      </c>
      <c r="L7" s="247">
        <f t="shared" si="3"/>
        <v>11.6587380867537</v>
      </c>
      <c r="M7" s="248">
        <f t="shared" si="4"/>
        <v>39.3152623557588</v>
      </c>
    </row>
    <row r="8" s="123" customFormat="1" ht="41" customHeight="1" spans="1:13">
      <c r="A8" s="230" t="s">
        <v>15</v>
      </c>
      <c r="B8" s="228">
        <f t="shared" ref="B8:G8" si="8">B9+B10</f>
        <v>1047675</v>
      </c>
      <c r="C8" s="228">
        <f t="shared" si="8"/>
        <v>822805</v>
      </c>
      <c r="D8" s="228">
        <f t="shared" si="8"/>
        <v>224870</v>
      </c>
      <c r="E8" s="228">
        <f t="shared" si="8"/>
        <v>904791.0038205</v>
      </c>
      <c r="F8" s="228">
        <f t="shared" si="8"/>
        <v>630918.0038205</v>
      </c>
      <c r="G8" s="228">
        <f t="shared" si="8"/>
        <v>273873</v>
      </c>
      <c r="H8" s="229">
        <f t="shared" si="1"/>
        <v>-142883.9961795</v>
      </c>
      <c r="I8" s="229">
        <f t="shared" si="7"/>
        <v>-191886.9961795</v>
      </c>
      <c r="J8" s="229">
        <f>G8-D8</f>
        <v>49003</v>
      </c>
      <c r="K8" s="247">
        <f t="shared" si="2"/>
        <v>-13.6381985042594</v>
      </c>
      <c r="L8" s="247">
        <f t="shared" si="3"/>
        <v>-23.3210780415165</v>
      </c>
      <c r="M8" s="248">
        <f t="shared" si="4"/>
        <v>21.7917018721928</v>
      </c>
    </row>
    <row r="9" s="122" customFormat="1" ht="41" customHeight="1" spans="1:13">
      <c r="A9" s="231" t="s">
        <v>16</v>
      </c>
      <c r="B9" s="232">
        <f>C9+D9</f>
        <v>716095</v>
      </c>
      <c r="C9" s="232">
        <f t="shared" ref="C9:G9" si="9">C13*0.5+C20*0.4+C22*0.4+C23+C24+C25+C26+C27+C28+C29+C30+C31+C32</f>
        <v>572805</v>
      </c>
      <c r="D9" s="232">
        <f t="shared" si="9"/>
        <v>143290</v>
      </c>
      <c r="E9" s="232">
        <f t="shared" ref="E9:E11" si="10">F9+G9</f>
        <v>541501.0038205</v>
      </c>
      <c r="F9" s="232">
        <f t="shared" si="9"/>
        <v>364845.0038205</v>
      </c>
      <c r="G9" s="232">
        <f t="shared" si="9"/>
        <v>176656</v>
      </c>
      <c r="H9" s="233">
        <f t="shared" si="1"/>
        <v>-174593.9961795</v>
      </c>
      <c r="I9" s="233">
        <f t="shared" si="7"/>
        <v>-207959.9961795</v>
      </c>
      <c r="J9" s="233">
        <f t="shared" ref="J7:J11" si="11">G9-D9</f>
        <v>33366</v>
      </c>
      <c r="K9" s="249">
        <f t="shared" si="2"/>
        <v>-24.381401375446</v>
      </c>
      <c r="L9" s="249">
        <f t="shared" si="3"/>
        <v>-36.3055483418441</v>
      </c>
      <c r="M9" s="250">
        <f t="shared" si="4"/>
        <v>23.2856444971736</v>
      </c>
    </row>
    <row r="10" s="122" customFormat="1" ht="41" customHeight="1" spans="1:13">
      <c r="A10" s="231" t="s">
        <v>17</v>
      </c>
      <c r="B10" s="232">
        <f>C10+D10</f>
        <v>331580</v>
      </c>
      <c r="C10" s="232">
        <f t="shared" ref="C10:G10" si="12">C34</f>
        <v>250000</v>
      </c>
      <c r="D10" s="232">
        <f t="shared" si="12"/>
        <v>81580</v>
      </c>
      <c r="E10" s="232">
        <f t="shared" si="10"/>
        <v>363290</v>
      </c>
      <c r="F10" s="232">
        <f t="shared" si="12"/>
        <v>266073</v>
      </c>
      <c r="G10" s="232">
        <f t="shared" si="12"/>
        <v>97217</v>
      </c>
      <c r="H10" s="233">
        <f t="shared" ref="H10:J10" si="13">H35+H36+H37+H45+H46+H47+H48+H49</f>
        <v>31710</v>
      </c>
      <c r="I10" s="233">
        <f t="shared" si="13"/>
        <v>16073</v>
      </c>
      <c r="J10" s="233">
        <f t="shared" si="13"/>
        <v>15637</v>
      </c>
      <c r="K10" s="249">
        <f t="shared" si="2"/>
        <v>9.56330297364135</v>
      </c>
      <c r="L10" s="249">
        <f t="shared" si="3"/>
        <v>6.4292</v>
      </c>
      <c r="M10" s="250">
        <f t="shared" si="4"/>
        <v>19.1676881588625</v>
      </c>
    </row>
    <row r="11" s="123" customFormat="1" ht="41" customHeight="1" spans="1:13">
      <c r="A11" s="227" t="s">
        <v>18</v>
      </c>
      <c r="B11" s="228">
        <f>B52+B56</f>
        <v>1100000</v>
      </c>
      <c r="C11" s="228">
        <f>C52+C56</f>
        <v>800000</v>
      </c>
      <c r="D11" s="228">
        <f>D52+D56</f>
        <v>300000</v>
      </c>
      <c r="E11" s="228">
        <f t="shared" si="10"/>
        <v>327925.474094</v>
      </c>
      <c r="F11" s="228">
        <f>F51</f>
        <v>157925.474094</v>
      </c>
      <c r="G11" s="228">
        <f>G51</f>
        <v>170000</v>
      </c>
      <c r="H11" s="229">
        <f t="shared" ref="H11:H21" si="14">I11+J11</f>
        <v>-772074.525906</v>
      </c>
      <c r="I11" s="229">
        <f t="shared" ref="I11:I21" si="15">F11-C11</f>
        <v>-642074.525906</v>
      </c>
      <c r="J11" s="229">
        <f t="shared" si="11"/>
        <v>-130000</v>
      </c>
      <c r="K11" s="247">
        <f t="shared" si="2"/>
        <v>-70.1885932641818</v>
      </c>
      <c r="L11" s="247">
        <f t="shared" si="3"/>
        <v>-80.25931573825</v>
      </c>
      <c r="M11" s="248">
        <f t="shared" si="4"/>
        <v>-43.3333333333333</v>
      </c>
    </row>
    <row r="12" s="123" customFormat="1" ht="41" customHeight="1" spans="1:13">
      <c r="A12" s="227" t="s">
        <v>19</v>
      </c>
      <c r="B12" s="228">
        <f>B13+B17+B22+B23+B24+B25+B26+B27+B28+B29+B30+B31+B32+B33+B20</f>
        <v>1148149</v>
      </c>
      <c r="C12" s="228">
        <f t="shared" ref="C12:J12" si="16">C13+C17+C22+C23+C24+C25+C26+C27+C28+C29+C30+C31+C32+C33+C20</f>
        <v>922185</v>
      </c>
      <c r="D12" s="228">
        <f t="shared" si="16"/>
        <v>225964</v>
      </c>
      <c r="E12" s="228">
        <f t="shared" si="16"/>
        <v>1046791.802948</v>
      </c>
      <c r="F12" s="228">
        <f t="shared" si="16"/>
        <v>754958.302948</v>
      </c>
      <c r="G12" s="228">
        <f t="shared" si="16"/>
        <v>291833.5</v>
      </c>
      <c r="H12" s="228">
        <f t="shared" si="16"/>
        <v>-101357.197052</v>
      </c>
      <c r="I12" s="228">
        <f t="shared" si="16"/>
        <v>-167226.697052</v>
      </c>
      <c r="J12" s="228">
        <f t="shared" si="16"/>
        <v>65869.5</v>
      </c>
      <c r="K12" s="247">
        <f t="shared" si="2"/>
        <v>-8.82787835481283</v>
      </c>
      <c r="L12" s="247">
        <f t="shared" si="3"/>
        <v>-18.1337472472443</v>
      </c>
      <c r="M12" s="248">
        <f t="shared" si="4"/>
        <v>29.1504398930803</v>
      </c>
    </row>
    <row r="13" s="122" customFormat="1" ht="41" customHeight="1" spans="1:13">
      <c r="A13" s="231" t="s">
        <v>20</v>
      </c>
      <c r="B13" s="232">
        <f t="shared" ref="B13:B20" si="17">C13+D13</f>
        <v>326084</v>
      </c>
      <c r="C13" s="232">
        <f>135988*2</f>
        <v>271976</v>
      </c>
      <c r="D13" s="232">
        <v>54108</v>
      </c>
      <c r="E13" s="232">
        <f t="shared" ref="E13:E20" si="18">F13+G13</f>
        <v>493051.074151</v>
      </c>
      <c r="F13" s="233">
        <v>371271.074151</v>
      </c>
      <c r="G13" s="233">
        <v>121780</v>
      </c>
      <c r="H13" s="233">
        <f t="shared" si="14"/>
        <v>166967.074151</v>
      </c>
      <c r="I13" s="233">
        <f t="shared" si="15"/>
        <v>99295.074151</v>
      </c>
      <c r="J13" s="233">
        <f>G13-D13</f>
        <v>67672</v>
      </c>
      <c r="K13" s="249">
        <f t="shared" si="2"/>
        <v>51.2037003198562</v>
      </c>
      <c r="L13" s="249">
        <f t="shared" si="3"/>
        <v>36.5087633287496</v>
      </c>
      <c r="M13" s="250">
        <f t="shared" si="4"/>
        <v>125.068381755008</v>
      </c>
    </row>
    <row r="14" s="122" customFormat="1" ht="41" hidden="1" customHeight="1" spans="1:13">
      <c r="A14" s="231" t="s">
        <v>21</v>
      </c>
      <c r="B14" s="232">
        <f t="shared" si="17"/>
        <v>0</v>
      </c>
      <c r="C14" s="232"/>
      <c r="D14" s="232"/>
      <c r="E14" s="232">
        <f t="shared" si="18"/>
        <v>121780</v>
      </c>
      <c r="F14" s="233"/>
      <c r="G14" s="233">
        <v>121780</v>
      </c>
      <c r="H14" s="233">
        <f t="shared" si="14"/>
        <v>121780</v>
      </c>
      <c r="I14" s="233">
        <f t="shared" si="15"/>
        <v>0</v>
      </c>
      <c r="J14" s="233">
        <f t="shared" ref="J14:J33" si="19">G14-D14</f>
        <v>121780</v>
      </c>
      <c r="K14" s="249" t="e">
        <f t="shared" si="2"/>
        <v>#DIV/0!</v>
      </c>
      <c r="L14" s="249" t="e">
        <f t="shared" si="3"/>
        <v>#DIV/0!</v>
      </c>
      <c r="M14" s="250" t="e">
        <f t="shared" si="4"/>
        <v>#DIV/0!</v>
      </c>
    </row>
    <row r="15" s="122" customFormat="1" ht="41" hidden="1" customHeight="1" spans="1:13">
      <c r="A15" s="234" t="s">
        <v>22</v>
      </c>
      <c r="B15" s="232">
        <f t="shared" si="17"/>
        <v>0</v>
      </c>
      <c r="C15" s="232"/>
      <c r="D15" s="232"/>
      <c r="E15" s="232">
        <f t="shared" si="18"/>
        <v>0</v>
      </c>
      <c r="F15" s="232"/>
      <c r="G15" s="232"/>
      <c r="H15" s="233">
        <f t="shared" si="14"/>
        <v>0</v>
      </c>
      <c r="I15" s="233">
        <f t="shared" si="15"/>
        <v>0</v>
      </c>
      <c r="J15" s="233">
        <f t="shared" si="19"/>
        <v>0</v>
      </c>
      <c r="K15" s="249" t="e">
        <f t="shared" si="2"/>
        <v>#DIV/0!</v>
      </c>
      <c r="L15" s="249" t="e">
        <f t="shared" si="3"/>
        <v>#DIV/0!</v>
      </c>
      <c r="M15" s="250">
        <v>0</v>
      </c>
    </row>
    <row r="16" s="122" customFormat="1" ht="41" hidden="1" customHeight="1" spans="1:13">
      <c r="A16" s="231" t="s">
        <v>23</v>
      </c>
      <c r="B16" s="232">
        <f t="shared" si="17"/>
        <v>0</v>
      </c>
      <c r="C16" s="232"/>
      <c r="D16" s="232"/>
      <c r="E16" s="232">
        <f t="shared" si="18"/>
        <v>0</v>
      </c>
      <c r="F16" s="232"/>
      <c r="G16" s="232"/>
      <c r="H16" s="233">
        <f t="shared" si="14"/>
        <v>0</v>
      </c>
      <c r="I16" s="233">
        <f t="shared" si="15"/>
        <v>0</v>
      </c>
      <c r="J16" s="233">
        <f t="shared" si="19"/>
        <v>0</v>
      </c>
      <c r="K16" s="249" t="e">
        <f t="shared" si="2"/>
        <v>#DIV/0!</v>
      </c>
      <c r="L16" s="249" t="e">
        <f t="shared" si="3"/>
        <v>#DIV/0!</v>
      </c>
      <c r="M16" s="250">
        <v>0</v>
      </c>
    </row>
    <row r="17" s="122" customFormat="1" ht="41" customHeight="1" spans="1:13">
      <c r="A17" s="231" t="s">
        <v>24</v>
      </c>
      <c r="B17" s="232">
        <f t="shared" si="17"/>
        <v>59098</v>
      </c>
      <c r="C17" s="232">
        <v>57298</v>
      </c>
      <c r="D17" s="232">
        <v>1800</v>
      </c>
      <c r="E17" s="232">
        <f t="shared" si="18"/>
        <v>66621.961246</v>
      </c>
      <c r="F17" s="232">
        <v>64610.961246</v>
      </c>
      <c r="G17" s="232">
        <v>2011</v>
      </c>
      <c r="H17" s="233">
        <f t="shared" si="14"/>
        <v>7523.96124600001</v>
      </c>
      <c r="I17" s="233">
        <f t="shared" si="15"/>
        <v>7312.96124600001</v>
      </c>
      <c r="J17" s="233">
        <f t="shared" si="19"/>
        <v>211</v>
      </c>
      <c r="K17" s="249">
        <f t="shared" si="2"/>
        <v>12.7313297336627</v>
      </c>
      <c r="L17" s="249">
        <f t="shared" si="3"/>
        <v>12.7630305525498</v>
      </c>
      <c r="M17" s="250">
        <f>(J17/D17)*100</f>
        <v>11.7222222222222</v>
      </c>
    </row>
    <row r="18" s="122" customFormat="1" ht="41" hidden="1" customHeight="1" spans="1:13">
      <c r="A18" s="234" t="s">
        <v>22</v>
      </c>
      <c r="B18" s="232">
        <f t="shared" si="17"/>
        <v>0</v>
      </c>
      <c r="C18" s="232"/>
      <c r="D18" s="232"/>
      <c r="E18" s="232">
        <f t="shared" si="18"/>
        <v>0</v>
      </c>
      <c r="F18" s="232"/>
      <c r="G18" s="232"/>
      <c r="H18" s="233">
        <f t="shared" si="14"/>
        <v>0</v>
      </c>
      <c r="I18" s="233">
        <f t="shared" si="15"/>
        <v>0</v>
      </c>
      <c r="J18" s="233">
        <f t="shared" si="19"/>
        <v>0</v>
      </c>
      <c r="K18" s="249" t="e">
        <f t="shared" si="2"/>
        <v>#DIV/0!</v>
      </c>
      <c r="L18" s="249" t="e">
        <f t="shared" si="3"/>
        <v>#DIV/0!</v>
      </c>
      <c r="M18" s="250">
        <v>0</v>
      </c>
    </row>
    <row r="19" s="122" customFormat="1" ht="41" hidden="1" customHeight="1" spans="1:13">
      <c r="A19" s="231" t="s">
        <v>23</v>
      </c>
      <c r="B19" s="232">
        <f t="shared" si="17"/>
        <v>0</v>
      </c>
      <c r="C19" s="232"/>
      <c r="D19" s="232"/>
      <c r="E19" s="232">
        <f t="shared" si="18"/>
        <v>0</v>
      </c>
      <c r="F19" s="232"/>
      <c r="G19" s="232"/>
      <c r="H19" s="233">
        <f t="shared" si="14"/>
        <v>0</v>
      </c>
      <c r="I19" s="233">
        <f t="shared" si="15"/>
        <v>0</v>
      </c>
      <c r="J19" s="233">
        <f t="shared" si="19"/>
        <v>0</v>
      </c>
      <c r="K19" s="249" t="e">
        <f t="shared" si="2"/>
        <v>#DIV/0!</v>
      </c>
      <c r="L19" s="249" t="e">
        <f t="shared" si="3"/>
        <v>#DIV/0!</v>
      </c>
      <c r="M19" s="250">
        <v>0</v>
      </c>
    </row>
    <row r="20" s="122" customFormat="1" ht="41" customHeight="1" spans="1:13">
      <c r="A20" s="231" t="s">
        <v>25</v>
      </c>
      <c r="B20" s="232">
        <f t="shared" si="17"/>
        <v>248200</v>
      </c>
      <c r="C20" s="232">
        <f>2.5*80000</f>
        <v>200000</v>
      </c>
      <c r="D20" s="232">
        <v>48200</v>
      </c>
      <c r="E20" s="232">
        <f t="shared" si="18"/>
        <v>220755.179598</v>
      </c>
      <c r="F20" s="232">
        <v>161727.679598</v>
      </c>
      <c r="G20" s="232">
        <v>59027.5</v>
      </c>
      <c r="H20" s="233">
        <f t="shared" si="14"/>
        <v>-27444.820402</v>
      </c>
      <c r="I20" s="233">
        <f t="shared" si="15"/>
        <v>-38272.320402</v>
      </c>
      <c r="J20" s="233">
        <f t="shared" si="19"/>
        <v>10827.5</v>
      </c>
      <c r="K20" s="249">
        <f t="shared" si="2"/>
        <v>-11.0575424665592</v>
      </c>
      <c r="L20" s="249">
        <f t="shared" si="3"/>
        <v>-19.136160201</v>
      </c>
      <c r="M20" s="250">
        <f>(J20/D20)*100</f>
        <v>22.4636929460581</v>
      </c>
    </row>
    <row r="21" s="122" customFormat="1" ht="41" hidden="1" customHeight="1" spans="1:13">
      <c r="A21" s="231" t="s">
        <v>23</v>
      </c>
      <c r="B21" s="232">
        <f t="shared" ref="B20:B50" si="20">C21+D21</f>
        <v>0</v>
      </c>
      <c r="C21" s="232"/>
      <c r="D21" s="232"/>
      <c r="E21" s="232">
        <f t="shared" ref="E20:E37" si="21">F21+G21</f>
        <v>0</v>
      </c>
      <c r="F21" s="232"/>
      <c r="G21" s="232"/>
      <c r="H21" s="233">
        <f t="shared" ref="H21:H33" si="22">I21+J21</f>
        <v>0</v>
      </c>
      <c r="I21" s="233">
        <f t="shared" ref="I21:I33" si="23">F21-C21</f>
        <v>0</v>
      </c>
      <c r="J21" s="233">
        <f t="shared" si="19"/>
        <v>0</v>
      </c>
      <c r="K21" s="249" t="e">
        <f t="shared" ref="K21:K43" si="24">H21/B21*100</f>
        <v>#DIV/0!</v>
      </c>
      <c r="L21" s="249" t="e">
        <f t="shared" ref="L21:L43" si="25">(F21-C21)/C21*100</f>
        <v>#DIV/0!</v>
      </c>
      <c r="M21" s="250">
        <v>0</v>
      </c>
    </row>
    <row r="22" s="122" customFormat="1" ht="35" customHeight="1" spans="1:13">
      <c r="A22" s="231" t="s">
        <v>26</v>
      </c>
      <c r="B22" s="232">
        <f t="shared" si="20"/>
        <v>66500</v>
      </c>
      <c r="C22" s="232">
        <f>2.5*10000</f>
        <v>25000</v>
      </c>
      <c r="D22" s="232">
        <v>41500</v>
      </c>
      <c r="E22" s="232">
        <f t="shared" si="21"/>
        <v>56922.576982</v>
      </c>
      <c r="F22" s="232">
        <v>28822.576982</v>
      </c>
      <c r="G22" s="232">
        <v>28100</v>
      </c>
      <c r="H22" s="233">
        <f t="shared" si="22"/>
        <v>-9577.423018</v>
      </c>
      <c r="I22" s="233">
        <f t="shared" si="23"/>
        <v>3822.576982</v>
      </c>
      <c r="J22" s="233">
        <f t="shared" si="19"/>
        <v>-13400</v>
      </c>
      <c r="K22" s="249">
        <f t="shared" si="24"/>
        <v>-14.4021398766917</v>
      </c>
      <c r="L22" s="249">
        <f t="shared" si="25"/>
        <v>15.290307928</v>
      </c>
      <c r="M22" s="250">
        <f t="shared" ref="M21:M31" si="26">(J22/D22)*100</f>
        <v>-32.289156626506</v>
      </c>
    </row>
    <row r="23" s="122" customFormat="1" ht="35" customHeight="1" spans="1:13">
      <c r="A23" s="231" t="s">
        <v>27</v>
      </c>
      <c r="B23" s="232">
        <f t="shared" si="20"/>
        <v>935</v>
      </c>
      <c r="C23" s="232">
        <v>900</v>
      </c>
      <c r="D23" s="232">
        <v>35</v>
      </c>
      <c r="E23" s="232">
        <f t="shared" si="21"/>
        <v>633.527065</v>
      </c>
      <c r="F23" s="232">
        <v>620.527065</v>
      </c>
      <c r="G23" s="232">
        <v>13</v>
      </c>
      <c r="H23" s="233">
        <f t="shared" si="22"/>
        <v>-301.472935</v>
      </c>
      <c r="I23" s="233">
        <f t="shared" si="23"/>
        <v>-279.472935</v>
      </c>
      <c r="J23" s="233">
        <f t="shared" si="19"/>
        <v>-22</v>
      </c>
      <c r="K23" s="249">
        <f t="shared" si="24"/>
        <v>-32.2430946524064</v>
      </c>
      <c r="L23" s="249">
        <f t="shared" si="25"/>
        <v>-31.0525483333333</v>
      </c>
      <c r="M23" s="250">
        <f t="shared" si="26"/>
        <v>-62.8571428571429</v>
      </c>
    </row>
    <row r="24" s="122" customFormat="1" ht="35" customHeight="1" spans="1:13">
      <c r="A24" s="231" t="s">
        <v>28</v>
      </c>
      <c r="B24" s="232">
        <f t="shared" si="20"/>
        <v>55600</v>
      </c>
      <c r="C24" s="232">
        <v>50000</v>
      </c>
      <c r="D24" s="232">
        <v>5600</v>
      </c>
      <c r="E24" s="232">
        <f t="shared" si="21"/>
        <v>23042.267167</v>
      </c>
      <c r="F24" s="232">
        <v>17672.267167</v>
      </c>
      <c r="G24" s="232">
        <v>5370</v>
      </c>
      <c r="H24" s="233">
        <f t="shared" si="22"/>
        <v>-32557.732833</v>
      </c>
      <c r="I24" s="233">
        <f t="shared" si="23"/>
        <v>-32327.732833</v>
      </c>
      <c r="J24" s="233">
        <f t="shared" si="19"/>
        <v>-230</v>
      </c>
      <c r="K24" s="249">
        <f t="shared" si="24"/>
        <v>-58.5570734406475</v>
      </c>
      <c r="L24" s="249">
        <f t="shared" si="25"/>
        <v>-64.655465666</v>
      </c>
      <c r="M24" s="250">
        <f t="shared" si="26"/>
        <v>-4.10714285714286</v>
      </c>
    </row>
    <row r="25" s="122" customFormat="1" ht="35" customHeight="1" spans="1:13">
      <c r="A25" s="231" t="s">
        <v>29</v>
      </c>
      <c r="B25" s="232">
        <f t="shared" si="20"/>
        <v>52600</v>
      </c>
      <c r="C25" s="232">
        <v>40000</v>
      </c>
      <c r="D25" s="232">
        <v>12600</v>
      </c>
      <c r="E25" s="232">
        <f t="shared" si="21"/>
        <v>34115.266329</v>
      </c>
      <c r="F25" s="232">
        <v>20560.266329</v>
      </c>
      <c r="G25" s="232">
        <v>13555</v>
      </c>
      <c r="H25" s="233">
        <f t="shared" si="22"/>
        <v>-18484.733671</v>
      </c>
      <c r="I25" s="233">
        <f t="shared" si="23"/>
        <v>-19439.733671</v>
      </c>
      <c r="J25" s="233">
        <f t="shared" si="19"/>
        <v>955</v>
      </c>
      <c r="K25" s="249">
        <f t="shared" si="24"/>
        <v>-35.1420792224335</v>
      </c>
      <c r="L25" s="249">
        <f t="shared" si="25"/>
        <v>-48.5993341775</v>
      </c>
      <c r="M25" s="250">
        <f t="shared" si="26"/>
        <v>7.57936507936508</v>
      </c>
    </row>
    <row r="26" s="122" customFormat="1" ht="35" customHeight="1" spans="1:13">
      <c r="A26" s="231" t="s">
        <v>30</v>
      </c>
      <c r="B26" s="232">
        <f t="shared" si="20"/>
        <v>34500</v>
      </c>
      <c r="C26" s="232">
        <v>30000</v>
      </c>
      <c r="D26" s="232">
        <v>4500</v>
      </c>
      <c r="E26" s="232">
        <f t="shared" si="21"/>
        <v>11250.917469</v>
      </c>
      <c r="F26" s="232">
        <v>6817.917469</v>
      </c>
      <c r="G26" s="232">
        <v>4433</v>
      </c>
      <c r="H26" s="233">
        <f t="shared" si="22"/>
        <v>-23249.082531</v>
      </c>
      <c r="I26" s="233">
        <f t="shared" si="23"/>
        <v>-23182.082531</v>
      </c>
      <c r="J26" s="233">
        <f t="shared" si="19"/>
        <v>-67</v>
      </c>
      <c r="K26" s="249">
        <f t="shared" si="24"/>
        <v>-67.3886450173913</v>
      </c>
      <c r="L26" s="249">
        <f t="shared" si="25"/>
        <v>-77.2736084366667</v>
      </c>
      <c r="M26" s="250">
        <f t="shared" si="26"/>
        <v>-1.48888888888889</v>
      </c>
    </row>
    <row r="27" s="122" customFormat="1" ht="35" customHeight="1" spans="1:13">
      <c r="A27" s="231" t="s">
        <v>31</v>
      </c>
      <c r="B27" s="232">
        <f t="shared" si="20"/>
        <v>22000</v>
      </c>
      <c r="C27" s="232">
        <v>20000</v>
      </c>
      <c r="D27" s="232">
        <v>2000</v>
      </c>
      <c r="E27" s="232">
        <f t="shared" si="21"/>
        <v>6724</v>
      </c>
      <c r="F27" s="232">
        <v>5252</v>
      </c>
      <c r="G27" s="232">
        <v>1472</v>
      </c>
      <c r="H27" s="233">
        <f t="shared" si="22"/>
        <v>-15276</v>
      </c>
      <c r="I27" s="233">
        <f t="shared" si="23"/>
        <v>-14748</v>
      </c>
      <c r="J27" s="233">
        <f t="shared" si="19"/>
        <v>-528</v>
      </c>
      <c r="K27" s="249">
        <f t="shared" si="24"/>
        <v>-69.4363636363636</v>
      </c>
      <c r="L27" s="249">
        <f t="shared" si="25"/>
        <v>-73.74</v>
      </c>
      <c r="M27" s="250">
        <f t="shared" si="26"/>
        <v>-26.4</v>
      </c>
    </row>
    <row r="28" s="122" customFormat="1" ht="35" customHeight="1" spans="1:13">
      <c r="A28" s="231" t="s">
        <v>32</v>
      </c>
      <c r="B28" s="232">
        <f t="shared" si="20"/>
        <v>158594</v>
      </c>
      <c r="C28" s="232">
        <v>128848</v>
      </c>
      <c r="D28" s="232">
        <v>29746</v>
      </c>
      <c r="E28" s="232">
        <f t="shared" si="21"/>
        <v>62578.224468</v>
      </c>
      <c r="F28" s="232">
        <v>27066.224468</v>
      </c>
      <c r="G28" s="232">
        <v>35512</v>
      </c>
      <c r="H28" s="233">
        <f t="shared" si="22"/>
        <v>-96015.775532</v>
      </c>
      <c r="I28" s="233">
        <f t="shared" si="23"/>
        <v>-101781.775532</v>
      </c>
      <c r="J28" s="233">
        <f t="shared" si="19"/>
        <v>5766</v>
      </c>
      <c r="K28" s="249">
        <f t="shared" si="24"/>
        <v>-60.541871402449</v>
      </c>
      <c r="L28" s="249">
        <f t="shared" si="25"/>
        <v>-78.9936790109276</v>
      </c>
      <c r="M28" s="250">
        <f t="shared" si="26"/>
        <v>19.3841188731258</v>
      </c>
    </row>
    <row r="29" s="123" customFormat="1" ht="35" customHeight="1" spans="1:13">
      <c r="A29" s="231" t="s">
        <v>33</v>
      </c>
      <c r="B29" s="232">
        <f t="shared" si="20"/>
        <v>5643</v>
      </c>
      <c r="C29" s="232">
        <v>5638</v>
      </c>
      <c r="D29" s="232">
        <v>5</v>
      </c>
      <c r="E29" s="232">
        <f t="shared" si="21"/>
        <v>3831.879519</v>
      </c>
      <c r="F29" s="232">
        <v>3820.879519</v>
      </c>
      <c r="G29" s="232">
        <v>11</v>
      </c>
      <c r="H29" s="233">
        <f t="shared" si="22"/>
        <v>-1811.120481</v>
      </c>
      <c r="I29" s="233">
        <f t="shared" si="23"/>
        <v>-1817.120481</v>
      </c>
      <c r="J29" s="233">
        <f t="shared" si="19"/>
        <v>6</v>
      </c>
      <c r="K29" s="249">
        <f t="shared" si="24"/>
        <v>-32.094993460925</v>
      </c>
      <c r="L29" s="249">
        <f t="shared" si="25"/>
        <v>-32.229877279177</v>
      </c>
      <c r="M29" s="250">
        <f t="shared" si="26"/>
        <v>120</v>
      </c>
    </row>
    <row r="30" s="122" customFormat="1" ht="35" customHeight="1" spans="1:13">
      <c r="A30" s="231" t="s">
        <v>34</v>
      </c>
      <c r="B30" s="232">
        <f t="shared" si="20"/>
        <v>5392</v>
      </c>
      <c r="C30" s="232">
        <v>4842</v>
      </c>
      <c r="D30" s="232">
        <v>550</v>
      </c>
      <c r="E30" s="232">
        <f t="shared" si="21"/>
        <v>1058.924629</v>
      </c>
      <c r="F30" s="232">
        <v>518.924629</v>
      </c>
      <c r="G30" s="232">
        <v>540</v>
      </c>
      <c r="H30" s="233">
        <f t="shared" si="22"/>
        <v>-4333.075371</v>
      </c>
      <c r="I30" s="233">
        <f t="shared" si="23"/>
        <v>-4323.075371</v>
      </c>
      <c r="J30" s="233">
        <f t="shared" si="19"/>
        <v>-10</v>
      </c>
      <c r="K30" s="249">
        <f t="shared" si="24"/>
        <v>-80.3611901149852</v>
      </c>
      <c r="L30" s="249">
        <f t="shared" si="25"/>
        <v>-89.2828453325072</v>
      </c>
      <c r="M30" s="250">
        <f t="shared" si="26"/>
        <v>-1.81818181818182</v>
      </c>
    </row>
    <row r="31" s="122" customFormat="1" ht="35" customHeight="1" spans="1:13">
      <c r="A31" s="231" t="s">
        <v>35</v>
      </c>
      <c r="B31" s="232">
        <f t="shared" si="20"/>
        <v>91639</v>
      </c>
      <c r="C31" s="232">
        <v>66369</v>
      </c>
      <c r="D31" s="232">
        <v>25270</v>
      </c>
      <c r="E31" s="232">
        <f t="shared" si="21"/>
        <v>40590.433824</v>
      </c>
      <c r="F31" s="232">
        <v>20590.433824</v>
      </c>
      <c r="G31" s="232">
        <v>20000</v>
      </c>
      <c r="H31" s="233">
        <f t="shared" si="22"/>
        <v>-51048.566176</v>
      </c>
      <c r="I31" s="233">
        <f t="shared" si="23"/>
        <v>-45778.566176</v>
      </c>
      <c r="J31" s="233">
        <f t="shared" si="19"/>
        <v>-5270</v>
      </c>
      <c r="K31" s="249">
        <f t="shared" si="24"/>
        <v>-55.7061580506116</v>
      </c>
      <c r="L31" s="249">
        <f t="shared" si="25"/>
        <v>-68.975826328557</v>
      </c>
      <c r="M31" s="250">
        <f t="shared" si="26"/>
        <v>-20.8547685001979</v>
      </c>
    </row>
    <row r="32" s="122" customFormat="1" ht="35" customHeight="1" spans="1:13">
      <c r="A32" s="231" t="s">
        <v>36</v>
      </c>
      <c r="B32" s="232">
        <f t="shared" si="20"/>
        <v>270</v>
      </c>
      <c r="C32" s="232">
        <v>220</v>
      </c>
      <c r="D32" s="232">
        <v>50</v>
      </c>
      <c r="E32" s="232">
        <f t="shared" si="21"/>
        <v>78.923643</v>
      </c>
      <c r="F32" s="232">
        <v>69.923643</v>
      </c>
      <c r="G32" s="232">
        <v>9</v>
      </c>
      <c r="H32" s="233">
        <f t="shared" si="22"/>
        <v>-191.076357</v>
      </c>
      <c r="I32" s="233">
        <f t="shared" si="23"/>
        <v>-150.076357</v>
      </c>
      <c r="J32" s="233">
        <f t="shared" si="19"/>
        <v>-41</v>
      </c>
      <c r="K32" s="249">
        <f t="shared" si="24"/>
        <v>-70.7690211111111</v>
      </c>
      <c r="L32" s="249">
        <f t="shared" si="25"/>
        <v>-68.2165259090909</v>
      </c>
      <c r="M32" s="250">
        <v>0</v>
      </c>
    </row>
    <row r="33" s="122" customFormat="1" ht="35" customHeight="1" spans="1:13">
      <c r="A33" s="231" t="s">
        <v>37</v>
      </c>
      <c r="B33" s="232">
        <f t="shared" si="20"/>
        <v>21094</v>
      </c>
      <c r="C33" s="232">
        <v>21094</v>
      </c>
      <c r="D33" s="232"/>
      <c r="E33" s="232">
        <f t="shared" si="21"/>
        <v>25536.646858</v>
      </c>
      <c r="F33" s="232">
        <v>25536.646858</v>
      </c>
      <c r="G33" s="232"/>
      <c r="H33" s="233">
        <f t="shared" si="22"/>
        <v>4442.646858</v>
      </c>
      <c r="I33" s="233">
        <f t="shared" si="23"/>
        <v>4442.646858</v>
      </c>
      <c r="J33" s="233">
        <f t="shared" si="19"/>
        <v>0</v>
      </c>
      <c r="K33" s="249">
        <f t="shared" si="24"/>
        <v>21.0611873423722</v>
      </c>
      <c r="L33" s="249">
        <f t="shared" si="25"/>
        <v>21.0611873423722</v>
      </c>
      <c r="M33" s="250">
        <v>0</v>
      </c>
    </row>
    <row r="34" s="123" customFormat="1" ht="35" customHeight="1" spans="1:14">
      <c r="A34" s="227" t="s">
        <v>38</v>
      </c>
      <c r="B34" s="228">
        <f t="shared" si="20"/>
        <v>331580</v>
      </c>
      <c r="C34" s="228">
        <f>C35+C36+C37+C45+C46+C47+C48+C49</f>
        <v>250000</v>
      </c>
      <c r="D34" s="228">
        <f>D35+D36+D37+D45+D46+D47+D48+D49</f>
        <v>81580</v>
      </c>
      <c r="E34" s="228">
        <f t="shared" si="21"/>
        <v>363290</v>
      </c>
      <c r="F34" s="228">
        <f>F35+F36+F37+F45+F46+F47+F48+F49</f>
        <v>266073</v>
      </c>
      <c r="G34" s="228">
        <f>G35+G36+G37+G45+G46+G47+G48+G49</f>
        <v>97217</v>
      </c>
      <c r="H34" s="229">
        <f>H35++H36+H37+H45+H46+H47+H48+H49</f>
        <v>31710</v>
      </c>
      <c r="I34" s="229">
        <f>I35++I36+I37+I45+I46+I47+I48+I49</f>
        <v>16073</v>
      </c>
      <c r="J34" s="229">
        <f>J35++J36+J37+J45+J46+J47+J48+J49</f>
        <v>15637</v>
      </c>
      <c r="K34" s="247">
        <f t="shared" si="24"/>
        <v>9.56330297364135</v>
      </c>
      <c r="L34" s="247">
        <f t="shared" si="25"/>
        <v>6.4292</v>
      </c>
      <c r="M34" s="248">
        <f t="shared" ref="M34:M41" si="27">(J34/D34)*100</f>
        <v>19.1676881588625</v>
      </c>
      <c r="N34" s="122"/>
    </row>
    <row r="35" s="122" customFormat="1" ht="35" customHeight="1" spans="1:13">
      <c r="A35" s="231" t="s">
        <v>39</v>
      </c>
      <c r="B35" s="232">
        <f t="shared" si="20"/>
        <v>10100</v>
      </c>
      <c r="C35" s="232">
        <v>8500</v>
      </c>
      <c r="D35" s="232">
        <v>1600</v>
      </c>
      <c r="E35" s="232">
        <f t="shared" si="21"/>
        <v>8400</v>
      </c>
      <c r="F35" s="232">
        <v>6500</v>
      </c>
      <c r="G35" s="232">
        <v>1900</v>
      </c>
      <c r="H35" s="233">
        <f t="shared" ref="H35:H60" si="28">I35+J35</f>
        <v>-1700</v>
      </c>
      <c r="I35" s="233">
        <f t="shared" ref="I35:I60" si="29">F35-C35</f>
        <v>-2000</v>
      </c>
      <c r="J35" s="233">
        <f>G35-D35</f>
        <v>300</v>
      </c>
      <c r="K35" s="249">
        <f t="shared" si="24"/>
        <v>-16.8316831683168</v>
      </c>
      <c r="L35" s="249">
        <f t="shared" si="25"/>
        <v>-23.5294117647059</v>
      </c>
      <c r="M35" s="250">
        <f t="shared" si="27"/>
        <v>18.75</v>
      </c>
    </row>
    <row r="36" s="122" customFormat="1" ht="35" customHeight="1" spans="1:13">
      <c r="A36" s="231" t="s">
        <v>40</v>
      </c>
      <c r="B36" s="232">
        <f t="shared" si="20"/>
        <v>5380</v>
      </c>
      <c r="C36" s="232">
        <v>5000</v>
      </c>
      <c r="D36" s="232">
        <v>380</v>
      </c>
      <c r="E36" s="232">
        <f t="shared" si="21"/>
        <v>4700</v>
      </c>
      <c r="F36" s="232">
        <v>4500</v>
      </c>
      <c r="G36" s="232">
        <v>200</v>
      </c>
      <c r="H36" s="233">
        <f t="shared" si="28"/>
        <v>-680</v>
      </c>
      <c r="I36" s="233">
        <f t="shared" si="29"/>
        <v>-500</v>
      </c>
      <c r="J36" s="233">
        <f t="shared" ref="J36:J52" si="30">G36-D36</f>
        <v>-180</v>
      </c>
      <c r="K36" s="249">
        <f t="shared" si="24"/>
        <v>-12.639405204461</v>
      </c>
      <c r="L36" s="249">
        <f t="shared" si="25"/>
        <v>-10</v>
      </c>
      <c r="M36" s="250">
        <f t="shared" si="27"/>
        <v>-47.3684210526316</v>
      </c>
    </row>
    <row r="37" s="122" customFormat="1" ht="35" customHeight="1" spans="1:13">
      <c r="A37" s="231" t="s">
        <v>41</v>
      </c>
      <c r="B37" s="232">
        <f t="shared" si="20"/>
        <v>67000</v>
      </c>
      <c r="C37" s="232">
        <v>22400</v>
      </c>
      <c r="D37" s="232">
        <v>44600</v>
      </c>
      <c r="E37" s="232">
        <f t="shared" si="21"/>
        <v>49096</v>
      </c>
      <c r="F37" s="232">
        <f>SUM(F38:F44)</f>
        <v>29979</v>
      </c>
      <c r="G37" s="232">
        <f>SUM(G38:G44)</f>
        <v>19117</v>
      </c>
      <c r="H37" s="233">
        <f t="shared" si="28"/>
        <v>-17904</v>
      </c>
      <c r="I37" s="233">
        <f>I38+I39+I40+I41+I42+I43+I44</f>
        <v>7579</v>
      </c>
      <c r="J37" s="233">
        <f t="shared" si="30"/>
        <v>-25483</v>
      </c>
      <c r="K37" s="249">
        <f t="shared" si="24"/>
        <v>-26.7223880597015</v>
      </c>
      <c r="L37" s="249">
        <f t="shared" si="25"/>
        <v>33.8348214285714</v>
      </c>
      <c r="M37" s="250">
        <f t="shared" si="27"/>
        <v>-57.1367713004484</v>
      </c>
    </row>
    <row r="38" s="122" customFormat="1" ht="35" customHeight="1" spans="1:13">
      <c r="A38" s="231" t="s">
        <v>42</v>
      </c>
      <c r="B38" s="232">
        <v>15000</v>
      </c>
      <c r="C38" s="232">
        <v>10000</v>
      </c>
      <c r="D38" s="232">
        <f t="shared" ref="D38:D43" si="31">B38-C38</f>
        <v>5000</v>
      </c>
      <c r="E38" s="232">
        <f t="shared" ref="E35:E60" si="32">F38+G38</f>
        <v>12300</v>
      </c>
      <c r="F38" s="232">
        <v>11000</v>
      </c>
      <c r="G38" s="232">
        <v>1300</v>
      </c>
      <c r="H38" s="233">
        <f t="shared" si="28"/>
        <v>-2700</v>
      </c>
      <c r="I38" s="233">
        <f t="shared" si="29"/>
        <v>1000</v>
      </c>
      <c r="J38" s="233">
        <f t="shared" si="30"/>
        <v>-3700</v>
      </c>
      <c r="K38" s="249">
        <f t="shared" si="24"/>
        <v>-18</v>
      </c>
      <c r="L38" s="249">
        <f t="shared" si="25"/>
        <v>10</v>
      </c>
      <c r="M38" s="250">
        <f t="shared" si="27"/>
        <v>-74</v>
      </c>
    </row>
    <row r="39" s="122" customFormat="1" ht="35" customHeight="1" spans="1:13">
      <c r="A39" s="231" t="s">
        <v>43</v>
      </c>
      <c r="B39" s="232">
        <v>3500</v>
      </c>
      <c r="C39" s="232">
        <v>1700</v>
      </c>
      <c r="D39" s="232">
        <f t="shared" si="31"/>
        <v>1800</v>
      </c>
      <c r="E39" s="232">
        <f t="shared" si="32"/>
        <v>2600</v>
      </c>
      <c r="F39" s="232">
        <v>1700</v>
      </c>
      <c r="G39" s="232">
        <v>900</v>
      </c>
      <c r="H39" s="233">
        <f t="shared" si="28"/>
        <v>-900</v>
      </c>
      <c r="I39" s="233">
        <f t="shared" si="29"/>
        <v>0</v>
      </c>
      <c r="J39" s="233">
        <f t="shared" si="30"/>
        <v>-900</v>
      </c>
      <c r="K39" s="249">
        <f t="shared" si="24"/>
        <v>-25.7142857142857</v>
      </c>
      <c r="L39" s="249">
        <f t="shared" si="25"/>
        <v>0</v>
      </c>
      <c r="M39" s="250">
        <f t="shared" si="27"/>
        <v>-50</v>
      </c>
    </row>
    <row r="40" s="122" customFormat="1" ht="35" customHeight="1" spans="1:13">
      <c r="A40" s="231" t="s">
        <v>44</v>
      </c>
      <c r="B40" s="232">
        <v>21000</v>
      </c>
      <c r="C40" s="232">
        <v>2100</v>
      </c>
      <c r="D40" s="232">
        <f t="shared" si="31"/>
        <v>18900</v>
      </c>
      <c r="E40" s="232">
        <f t="shared" si="32"/>
        <v>12566</v>
      </c>
      <c r="F40" s="232">
        <v>5472</v>
      </c>
      <c r="G40" s="232">
        <v>7094</v>
      </c>
      <c r="H40" s="233">
        <f t="shared" si="28"/>
        <v>-8434</v>
      </c>
      <c r="I40" s="233">
        <f t="shared" si="29"/>
        <v>3372</v>
      </c>
      <c r="J40" s="233">
        <f t="shared" si="30"/>
        <v>-11806</v>
      </c>
      <c r="K40" s="249">
        <f t="shared" si="24"/>
        <v>-40.1619047619048</v>
      </c>
      <c r="L40" s="249">
        <f t="shared" si="25"/>
        <v>160.571428571429</v>
      </c>
      <c r="M40" s="250">
        <f t="shared" si="27"/>
        <v>-62.4656084656085</v>
      </c>
    </row>
    <row r="41" s="123" customFormat="1" ht="35" customHeight="1" spans="1:13">
      <c r="A41" s="231" t="s">
        <v>45</v>
      </c>
      <c r="B41" s="232">
        <v>21000</v>
      </c>
      <c r="C41" s="232">
        <v>2100</v>
      </c>
      <c r="D41" s="232">
        <f t="shared" si="31"/>
        <v>18900</v>
      </c>
      <c r="E41" s="232">
        <f t="shared" si="32"/>
        <v>12566</v>
      </c>
      <c r="F41" s="232">
        <v>5472</v>
      </c>
      <c r="G41" s="232">
        <v>7094</v>
      </c>
      <c r="H41" s="233">
        <f t="shared" si="28"/>
        <v>-8434</v>
      </c>
      <c r="I41" s="233">
        <f t="shared" si="29"/>
        <v>3372</v>
      </c>
      <c r="J41" s="233">
        <f t="shared" si="30"/>
        <v>-11806</v>
      </c>
      <c r="K41" s="249">
        <f t="shared" si="24"/>
        <v>-40.1619047619048</v>
      </c>
      <c r="L41" s="249">
        <f t="shared" si="25"/>
        <v>160.571428571429</v>
      </c>
      <c r="M41" s="250">
        <f t="shared" si="27"/>
        <v>-62.4656084656085</v>
      </c>
    </row>
    <row r="42" s="122" customFormat="1" ht="35" customHeight="1" spans="1:13">
      <c r="A42" s="231" t="s">
        <v>46</v>
      </c>
      <c r="B42" s="232">
        <v>1500</v>
      </c>
      <c r="C42" s="232">
        <v>1500</v>
      </c>
      <c r="D42" s="232">
        <f t="shared" si="31"/>
        <v>0</v>
      </c>
      <c r="E42" s="232">
        <f t="shared" si="32"/>
        <v>200</v>
      </c>
      <c r="F42" s="232">
        <v>200</v>
      </c>
      <c r="G42" s="232"/>
      <c r="H42" s="233">
        <f t="shared" si="28"/>
        <v>-1300</v>
      </c>
      <c r="I42" s="233">
        <f t="shared" si="29"/>
        <v>-1300</v>
      </c>
      <c r="J42" s="233">
        <f t="shared" si="30"/>
        <v>0</v>
      </c>
      <c r="K42" s="249">
        <f t="shared" si="24"/>
        <v>-86.6666666666667</v>
      </c>
      <c r="L42" s="249">
        <f t="shared" si="25"/>
        <v>-86.6666666666667</v>
      </c>
      <c r="M42" s="250">
        <v>0</v>
      </c>
    </row>
    <row r="43" s="122" customFormat="1" ht="35" customHeight="1" spans="1:13">
      <c r="A43" s="231" t="s">
        <v>47</v>
      </c>
      <c r="B43" s="232">
        <v>5000</v>
      </c>
      <c r="C43" s="232">
        <v>5000</v>
      </c>
      <c r="D43" s="232">
        <f t="shared" si="31"/>
        <v>0</v>
      </c>
      <c r="E43" s="232">
        <f t="shared" si="32"/>
        <v>8864</v>
      </c>
      <c r="F43" s="232">
        <v>6135</v>
      </c>
      <c r="G43" s="232">
        <v>2729</v>
      </c>
      <c r="H43" s="233">
        <f t="shared" si="28"/>
        <v>3864</v>
      </c>
      <c r="I43" s="233">
        <f t="shared" si="29"/>
        <v>1135</v>
      </c>
      <c r="J43" s="233">
        <f t="shared" si="30"/>
        <v>2729</v>
      </c>
      <c r="K43" s="249">
        <f t="shared" si="24"/>
        <v>77.28</v>
      </c>
      <c r="L43" s="249">
        <f t="shared" si="25"/>
        <v>22.7</v>
      </c>
      <c r="M43" s="250" t="e">
        <f>(J43/D43)*100</f>
        <v>#DIV/0!</v>
      </c>
    </row>
    <row r="44" s="122" customFormat="1" ht="35" hidden="1" customHeight="1" spans="1:13">
      <c r="A44" s="231" t="s">
        <v>48</v>
      </c>
      <c r="B44" s="232">
        <f t="shared" si="20"/>
        <v>0</v>
      </c>
      <c r="C44" s="232"/>
      <c r="D44" s="232"/>
      <c r="E44" s="232">
        <f t="shared" si="32"/>
        <v>0</v>
      </c>
      <c r="F44" s="232"/>
      <c r="G44" s="232"/>
      <c r="H44" s="233">
        <f t="shared" si="28"/>
        <v>0</v>
      </c>
      <c r="I44" s="233">
        <f t="shared" si="29"/>
        <v>0</v>
      </c>
      <c r="J44" s="233">
        <f t="shared" si="30"/>
        <v>0</v>
      </c>
      <c r="K44" s="249">
        <v>0</v>
      </c>
      <c r="L44" s="249">
        <v>0</v>
      </c>
      <c r="M44" s="250">
        <v>0</v>
      </c>
    </row>
    <row r="45" s="122" customFormat="1" ht="35" customHeight="1" spans="1:13">
      <c r="A45" s="231" t="s">
        <v>49</v>
      </c>
      <c r="B45" s="232">
        <f t="shared" si="20"/>
        <v>7500</v>
      </c>
      <c r="C45" s="232">
        <v>7500</v>
      </c>
      <c r="D45" s="232"/>
      <c r="E45" s="232">
        <f t="shared" si="32"/>
        <v>50</v>
      </c>
      <c r="F45" s="232">
        <v>50</v>
      </c>
      <c r="G45" s="232"/>
      <c r="H45" s="233">
        <f t="shared" si="28"/>
        <v>-7450</v>
      </c>
      <c r="I45" s="233">
        <f t="shared" si="29"/>
        <v>-7450</v>
      </c>
      <c r="J45" s="233">
        <f t="shared" si="30"/>
        <v>0</v>
      </c>
      <c r="K45" s="249">
        <f t="shared" ref="K45:K48" si="33">H45/B45*100</f>
        <v>-99.3333333333333</v>
      </c>
      <c r="L45" s="249">
        <f t="shared" ref="L45:L48" si="34">(F45-C45)/C45*100</f>
        <v>-99.3333333333333</v>
      </c>
      <c r="M45" s="250">
        <v>0</v>
      </c>
    </row>
    <row r="46" s="122" customFormat="1" ht="35" customHeight="1" spans="1:13">
      <c r="A46" s="231" t="s">
        <v>50</v>
      </c>
      <c r="B46" s="232">
        <f t="shared" si="20"/>
        <v>241400</v>
      </c>
      <c r="C46" s="232">
        <v>206400</v>
      </c>
      <c r="D46" s="232">
        <v>35000</v>
      </c>
      <c r="E46" s="232">
        <f t="shared" si="32"/>
        <v>301000</v>
      </c>
      <c r="F46" s="232">
        <v>225000</v>
      </c>
      <c r="G46" s="232">
        <v>76000</v>
      </c>
      <c r="H46" s="233">
        <f t="shared" si="28"/>
        <v>59600</v>
      </c>
      <c r="I46" s="233">
        <f t="shared" si="29"/>
        <v>18600</v>
      </c>
      <c r="J46" s="233">
        <f t="shared" si="30"/>
        <v>41000</v>
      </c>
      <c r="K46" s="249">
        <f t="shared" si="33"/>
        <v>24.6893123446562</v>
      </c>
      <c r="L46" s="249">
        <f t="shared" si="34"/>
        <v>9.01162790697674</v>
      </c>
      <c r="M46" s="250">
        <f>(J46/D46)*100</f>
        <v>117.142857142857</v>
      </c>
    </row>
    <row r="47" s="122" customFormat="1" ht="35" customHeight="1" spans="1:13">
      <c r="A47" s="231" t="s">
        <v>51</v>
      </c>
      <c r="B47" s="232">
        <f t="shared" si="20"/>
        <v>100</v>
      </c>
      <c r="C47" s="232">
        <v>100</v>
      </c>
      <c r="D47" s="232"/>
      <c r="E47" s="232">
        <f t="shared" si="32"/>
        <v>0</v>
      </c>
      <c r="F47" s="232">
        <v>0</v>
      </c>
      <c r="G47" s="232"/>
      <c r="H47" s="233">
        <f t="shared" si="28"/>
        <v>-100</v>
      </c>
      <c r="I47" s="233">
        <f t="shared" si="29"/>
        <v>-100</v>
      </c>
      <c r="J47" s="233">
        <f t="shared" si="30"/>
        <v>0</v>
      </c>
      <c r="K47" s="249">
        <f t="shared" si="33"/>
        <v>-100</v>
      </c>
      <c r="L47" s="249">
        <f t="shared" si="34"/>
        <v>-100</v>
      </c>
      <c r="M47" s="250">
        <v>0</v>
      </c>
    </row>
    <row r="48" s="122" customFormat="1" ht="35" customHeight="1" spans="1:13">
      <c r="A48" s="231" t="s">
        <v>52</v>
      </c>
      <c r="B48" s="232">
        <f t="shared" si="20"/>
        <v>100</v>
      </c>
      <c r="C48" s="232">
        <v>100</v>
      </c>
      <c r="D48" s="232"/>
      <c r="E48" s="232">
        <f t="shared" si="32"/>
        <v>44</v>
      </c>
      <c r="F48" s="232">
        <v>44</v>
      </c>
      <c r="G48" s="232"/>
      <c r="H48" s="233">
        <f t="shared" si="28"/>
        <v>-56</v>
      </c>
      <c r="I48" s="233">
        <f t="shared" si="29"/>
        <v>-56</v>
      </c>
      <c r="J48" s="233">
        <f t="shared" si="30"/>
        <v>0</v>
      </c>
      <c r="K48" s="249">
        <f t="shared" si="33"/>
        <v>-56</v>
      </c>
      <c r="L48" s="249">
        <f t="shared" si="34"/>
        <v>-56</v>
      </c>
      <c r="M48" s="250">
        <v>0</v>
      </c>
    </row>
    <row r="49" s="122" customFormat="1" ht="35" customHeight="1" spans="1:13">
      <c r="A49" s="231" t="s">
        <v>53</v>
      </c>
      <c r="B49" s="232">
        <f t="shared" si="20"/>
        <v>0</v>
      </c>
      <c r="C49" s="232"/>
      <c r="D49" s="232"/>
      <c r="E49" s="232">
        <f t="shared" si="32"/>
        <v>0</v>
      </c>
      <c r="F49" s="232"/>
      <c r="G49" s="232"/>
      <c r="H49" s="233">
        <f t="shared" si="28"/>
        <v>0</v>
      </c>
      <c r="I49" s="233">
        <f t="shared" si="29"/>
        <v>0</v>
      </c>
      <c r="J49" s="233">
        <f t="shared" si="30"/>
        <v>0</v>
      </c>
      <c r="K49" s="249">
        <v>0</v>
      </c>
      <c r="L49" s="249">
        <v>0</v>
      </c>
      <c r="M49" s="250">
        <v>0</v>
      </c>
    </row>
    <row r="50" s="122" customFormat="1" ht="35" customHeight="1" spans="1:13">
      <c r="A50" s="227" t="s">
        <v>54</v>
      </c>
      <c r="B50" s="232">
        <f t="shared" si="20"/>
        <v>0</v>
      </c>
      <c r="C50" s="232">
        <v>0</v>
      </c>
      <c r="D50" s="232">
        <v>0</v>
      </c>
      <c r="E50" s="232">
        <f t="shared" si="32"/>
        <v>0</v>
      </c>
      <c r="F50" s="232">
        <v>0</v>
      </c>
      <c r="G50" s="232">
        <v>0</v>
      </c>
      <c r="H50" s="233">
        <f t="shared" si="28"/>
        <v>0</v>
      </c>
      <c r="I50" s="233">
        <f t="shared" si="29"/>
        <v>0</v>
      </c>
      <c r="J50" s="233">
        <f t="shared" si="30"/>
        <v>0</v>
      </c>
      <c r="K50" s="249">
        <v>0</v>
      </c>
      <c r="L50" s="249">
        <v>0</v>
      </c>
      <c r="M50" s="250">
        <v>0</v>
      </c>
    </row>
    <row r="51" s="122" customFormat="1" ht="35" customHeight="1" spans="1:20">
      <c r="A51" s="227" t="s">
        <v>55</v>
      </c>
      <c r="B51" s="232">
        <f t="shared" ref="B51:G51" si="35">B52+B56</f>
        <v>1100000</v>
      </c>
      <c r="C51" s="232">
        <f t="shared" si="35"/>
        <v>800000</v>
      </c>
      <c r="D51" s="232">
        <f t="shared" si="35"/>
        <v>300000</v>
      </c>
      <c r="E51" s="232">
        <f t="shared" si="32"/>
        <v>327925.474094</v>
      </c>
      <c r="F51" s="235">
        <f t="shared" si="35"/>
        <v>157925.474094</v>
      </c>
      <c r="G51" s="235">
        <f t="shared" si="35"/>
        <v>170000</v>
      </c>
      <c r="H51" s="233">
        <f t="shared" si="28"/>
        <v>-772074.525906</v>
      </c>
      <c r="I51" s="233">
        <f t="shared" si="29"/>
        <v>-642074.525906</v>
      </c>
      <c r="J51" s="233">
        <f t="shared" si="30"/>
        <v>-130000</v>
      </c>
      <c r="K51" s="249">
        <f t="shared" ref="K51:K58" si="36">H51/B51*100</f>
        <v>-70.1885932641818</v>
      </c>
      <c r="L51" s="249">
        <f t="shared" ref="L51:L58" si="37">(F51-C51)/C51*100</f>
        <v>-80.25931573825</v>
      </c>
      <c r="M51" s="250">
        <f t="shared" ref="M51:M54" si="38">(J51/D51)*100</f>
        <v>-43.3333333333333</v>
      </c>
      <c r="R51" s="251"/>
      <c r="S51" s="251"/>
      <c r="T51" s="251"/>
    </row>
    <row r="52" s="122" customFormat="1" ht="35" customHeight="1" spans="1:20">
      <c r="A52" s="231" t="s">
        <v>56</v>
      </c>
      <c r="B52" s="232">
        <f t="shared" ref="B52:G52" si="39">SUM(B53:B55)</f>
        <v>1080000</v>
      </c>
      <c r="C52" s="232">
        <f t="shared" si="39"/>
        <v>790000</v>
      </c>
      <c r="D52" s="236">
        <f t="shared" si="39"/>
        <v>290000</v>
      </c>
      <c r="E52" s="232">
        <f t="shared" si="32"/>
        <v>315645.974094</v>
      </c>
      <c r="F52" s="235">
        <f t="shared" si="39"/>
        <v>145645.974094</v>
      </c>
      <c r="G52" s="235">
        <f t="shared" si="39"/>
        <v>170000</v>
      </c>
      <c r="H52" s="233">
        <f t="shared" si="28"/>
        <v>-764354.025906</v>
      </c>
      <c r="I52" s="233">
        <f t="shared" si="29"/>
        <v>-644354.025906</v>
      </c>
      <c r="J52" s="233">
        <f t="shared" si="30"/>
        <v>-120000</v>
      </c>
      <c r="K52" s="249">
        <f t="shared" si="36"/>
        <v>-70.7735209172222</v>
      </c>
      <c r="L52" s="249">
        <f t="shared" si="37"/>
        <v>-81.5638007475949</v>
      </c>
      <c r="M52" s="250">
        <f t="shared" si="38"/>
        <v>-41.3793103448276</v>
      </c>
      <c r="R52" s="251"/>
      <c r="S52" s="251"/>
      <c r="T52" s="251"/>
    </row>
    <row r="53" s="122" customFormat="1" ht="35" customHeight="1" spans="1:13">
      <c r="A53" s="231" t="s">
        <v>57</v>
      </c>
      <c r="B53" s="232">
        <f t="shared" ref="B53:B59" si="40">C53+D53</f>
        <v>1064500</v>
      </c>
      <c r="C53" s="232">
        <v>774500</v>
      </c>
      <c r="D53" s="236">
        <v>290000</v>
      </c>
      <c r="E53" s="232">
        <f t="shared" si="32"/>
        <v>309687.974094</v>
      </c>
      <c r="F53" s="232">
        <f>8000+131687.974094</f>
        <v>139687.974094</v>
      </c>
      <c r="G53" s="232">
        <v>170000</v>
      </c>
      <c r="H53" s="233">
        <f t="shared" si="28"/>
        <v>-754812.025906</v>
      </c>
      <c r="I53" s="233">
        <f t="shared" ref="I53:I60" si="41">F53-C53</f>
        <v>-634812.025906</v>
      </c>
      <c r="J53" s="233">
        <f t="shared" ref="J53:J60" si="42">G53-D53</f>
        <v>-120000</v>
      </c>
      <c r="K53" s="249">
        <f t="shared" si="36"/>
        <v>-70.9076586102396</v>
      </c>
      <c r="L53" s="249">
        <f t="shared" si="37"/>
        <v>-81.9641092196256</v>
      </c>
      <c r="M53" s="250">
        <f t="shared" si="38"/>
        <v>-41.3793103448276</v>
      </c>
    </row>
    <row r="54" s="122" customFormat="1" ht="35" customHeight="1" spans="1:13">
      <c r="A54" s="231" t="s">
        <v>58</v>
      </c>
      <c r="B54" s="232">
        <f t="shared" si="40"/>
        <v>15000</v>
      </c>
      <c r="C54" s="232">
        <v>15000</v>
      </c>
      <c r="D54" s="236"/>
      <c r="E54" s="232">
        <f t="shared" si="32"/>
        <v>5958</v>
      </c>
      <c r="F54" s="232">
        <v>5958</v>
      </c>
      <c r="G54" s="232"/>
      <c r="H54" s="233">
        <f t="shared" si="28"/>
        <v>-9042</v>
      </c>
      <c r="I54" s="233">
        <f t="shared" si="41"/>
        <v>-9042</v>
      </c>
      <c r="J54" s="233">
        <f t="shared" si="42"/>
        <v>0</v>
      </c>
      <c r="K54" s="249">
        <f t="shared" si="36"/>
        <v>-60.28</v>
      </c>
      <c r="L54" s="249">
        <f t="shared" si="37"/>
        <v>-60.28</v>
      </c>
      <c r="M54" s="250" t="e">
        <f t="shared" si="38"/>
        <v>#DIV/0!</v>
      </c>
    </row>
    <row r="55" s="122" customFormat="1" ht="35" customHeight="1" spans="1:13">
      <c r="A55" s="231" t="s">
        <v>59</v>
      </c>
      <c r="B55" s="232">
        <f t="shared" si="40"/>
        <v>500</v>
      </c>
      <c r="C55" s="232">
        <v>500</v>
      </c>
      <c r="D55" s="236"/>
      <c r="E55" s="232">
        <f t="shared" si="32"/>
        <v>0</v>
      </c>
      <c r="F55" s="232">
        <v>0</v>
      </c>
      <c r="G55" s="232"/>
      <c r="H55" s="233">
        <f t="shared" si="28"/>
        <v>-500</v>
      </c>
      <c r="I55" s="233">
        <f t="shared" si="41"/>
        <v>-500</v>
      </c>
      <c r="J55" s="233">
        <f t="shared" si="42"/>
        <v>0</v>
      </c>
      <c r="K55" s="249">
        <f t="shared" si="36"/>
        <v>-100</v>
      </c>
      <c r="L55" s="249">
        <f t="shared" si="37"/>
        <v>-100</v>
      </c>
      <c r="M55" s="250">
        <v>0</v>
      </c>
    </row>
    <row r="56" s="122" customFormat="1" ht="35" customHeight="1" spans="1:13">
      <c r="A56" s="231" t="s">
        <v>60</v>
      </c>
      <c r="B56" s="232">
        <f t="shared" si="40"/>
        <v>20000</v>
      </c>
      <c r="C56" s="235">
        <f t="shared" ref="C56:G56" si="43">SUM(C57:C59)</f>
        <v>10000</v>
      </c>
      <c r="D56" s="237">
        <f t="shared" si="43"/>
        <v>10000</v>
      </c>
      <c r="E56" s="232">
        <f t="shared" si="32"/>
        <v>12279.5</v>
      </c>
      <c r="F56" s="235">
        <f>SUM(F57:F60)</f>
        <v>12279.5</v>
      </c>
      <c r="G56" s="235">
        <f t="shared" si="43"/>
        <v>0</v>
      </c>
      <c r="H56" s="233">
        <f t="shared" si="28"/>
        <v>-7720.5</v>
      </c>
      <c r="I56" s="233">
        <f t="shared" si="41"/>
        <v>2279.5</v>
      </c>
      <c r="J56" s="233">
        <f t="shared" si="42"/>
        <v>-10000</v>
      </c>
      <c r="K56" s="249">
        <f t="shared" si="36"/>
        <v>-38.6025</v>
      </c>
      <c r="L56" s="249">
        <f t="shared" si="37"/>
        <v>22.795</v>
      </c>
      <c r="M56" s="250">
        <f>(J56/D56)*100</f>
        <v>-100</v>
      </c>
    </row>
    <row r="57" s="122" customFormat="1" ht="35" customHeight="1" spans="1:15">
      <c r="A57" s="231" t="s">
        <v>61</v>
      </c>
      <c r="B57" s="232">
        <f t="shared" si="40"/>
        <v>14800</v>
      </c>
      <c r="C57" s="232">
        <v>4800</v>
      </c>
      <c r="D57" s="236">
        <v>10000</v>
      </c>
      <c r="E57" s="232">
        <f t="shared" si="32"/>
        <v>1500</v>
      </c>
      <c r="F57" s="232">
        <v>1500</v>
      </c>
      <c r="G57" s="232"/>
      <c r="H57" s="233">
        <f t="shared" si="28"/>
        <v>-13300</v>
      </c>
      <c r="I57" s="233">
        <f t="shared" si="41"/>
        <v>-3300</v>
      </c>
      <c r="J57" s="233">
        <f t="shared" si="42"/>
        <v>-10000</v>
      </c>
      <c r="K57" s="249">
        <f t="shared" si="36"/>
        <v>-89.8648648648649</v>
      </c>
      <c r="L57" s="249">
        <f t="shared" si="37"/>
        <v>-68.75</v>
      </c>
      <c r="M57" s="250">
        <f>(J57/D57)*100</f>
        <v>-100</v>
      </c>
      <c r="O57" s="122">
        <v>1336</v>
      </c>
    </row>
    <row r="58" s="123" customFormat="1" ht="35" customHeight="1" spans="1:15">
      <c r="A58" s="231" t="s">
        <v>62</v>
      </c>
      <c r="B58" s="232">
        <f t="shared" si="40"/>
        <v>1200</v>
      </c>
      <c r="C58" s="232">
        <v>1200</v>
      </c>
      <c r="D58" s="232"/>
      <c r="E58" s="232">
        <f t="shared" si="32"/>
        <v>2500</v>
      </c>
      <c r="F58" s="232">
        <v>2500</v>
      </c>
      <c r="G58" s="232"/>
      <c r="H58" s="233">
        <f t="shared" si="28"/>
        <v>1300</v>
      </c>
      <c r="I58" s="233">
        <f t="shared" si="41"/>
        <v>1300</v>
      </c>
      <c r="J58" s="233">
        <f t="shared" si="42"/>
        <v>0</v>
      </c>
      <c r="K58" s="249">
        <f t="shared" si="36"/>
        <v>108.333333333333</v>
      </c>
      <c r="L58" s="249">
        <f t="shared" si="37"/>
        <v>108.333333333333</v>
      </c>
      <c r="M58" s="250">
        <v>0</v>
      </c>
      <c r="N58" s="66" t="s">
        <v>63</v>
      </c>
      <c r="O58" s="35">
        <v>138.56628</v>
      </c>
    </row>
    <row r="59" s="123" customFormat="1" ht="35" customHeight="1" spans="1:15">
      <c r="A59" s="231" t="s">
        <v>64</v>
      </c>
      <c r="B59" s="232">
        <f t="shared" si="40"/>
        <v>4000</v>
      </c>
      <c r="C59" s="232">
        <v>4000</v>
      </c>
      <c r="D59" s="232"/>
      <c r="E59" s="232">
        <f t="shared" si="32"/>
        <v>5000</v>
      </c>
      <c r="F59" s="232">
        <v>5000</v>
      </c>
      <c r="G59" s="232"/>
      <c r="H59" s="233">
        <f t="shared" si="28"/>
        <v>1000</v>
      </c>
      <c r="I59" s="233">
        <f t="shared" si="41"/>
        <v>1000</v>
      </c>
      <c r="J59" s="233">
        <f t="shared" si="42"/>
        <v>0</v>
      </c>
      <c r="K59" s="249">
        <v>0</v>
      </c>
      <c r="L59" s="249">
        <v>0</v>
      </c>
      <c r="M59" s="250">
        <v>0</v>
      </c>
      <c r="O59" s="123">
        <v>3411.701025</v>
      </c>
    </row>
    <row r="60" s="122" customFormat="1" ht="35" customHeight="1" spans="1:13">
      <c r="A60" s="190" t="s">
        <v>65</v>
      </c>
      <c r="B60" s="238"/>
      <c r="C60" s="238">
        <v>0</v>
      </c>
      <c r="D60" s="238"/>
      <c r="E60" s="232">
        <f t="shared" si="32"/>
        <v>3279.5</v>
      </c>
      <c r="F60" s="232">
        <v>3279.5</v>
      </c>
      <c r="G60" s="238"/>
      <c r="H60" s="233">
        <f t="shared" si="28"/>
        <v>3279.5</v>
      </c>
      <c r="I60" s="233">
        <f t="shared" si="41"/>
        <v>3279.5</v>
      </c>
      <c r="J60" s="233">
        <f t="shared" si="42"/>
        <v>0</v>
      </c>
      <c r="K60" s="249" t="e">
        <f>H60/B60*100</f>
        <v>#DIV/0!</v>
      </c>
      <c r="L60" s="249" t="e">
        <f>(F60-C60)/C60*100</f>
        <v>#DIV/0!</v>
      </c>
      <c r="M60" s="250">
        <v>0</v>
      </c>
    </row>
  </sheetData>
  <mergeCells count="9">
    <mergeCell ref="A1:M1"/>
    <mergeCell ref="A2:B2"/>
    <mergeCell ref="E2:G2"/>
    <mergeCell ref="H2:M2"/>
    <mergeCell ref="B3:D3"/>
    <mergeCell ref="E3:G3"/>
    <mergeCell ref="H3:J3"/>
    <mergeCell ref="K3:M3"/>
    <mergeCell ref="A3:A4"/>
  </mergeCells>
  <pageMargins left="0.708333333333333" right="0.708333333333333" top="0.747916666666667" bottom="0.747916666666667" header="0.314583333333333" footer="0.314583333333333"/>
  <pageSetup paperSize="9" scale="84" firstPageNumber="7" fitToHeight="0" orientation="landscape" useFirstPageNumber="1" horizontalDpi="600"/>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S85"/>
  <sheetViews>
    <sheetView view="pageBreakPreview" zoomScaleNormal="100" topLeftCell="A80" workbookViewId="0">
      <selection activeCell="E104" sqref="E104"/>
    </sheetView>
  </sheetViews>
  <sheetFormatPr defaultColWidth="9" defaultRowHeight="14.25"/>
  <cols>
    <col min="1" max="1" width="22.5" style="167" customWidth="1"/>
    <col min="2" max="2" width="14.25" style="167" customWidth="1"/>
    <col min="3" max="4" width="12.125" style="167" customWidth="1"/>
    <col min="5" max="5" width="13.75" style="167" customWidth="1"/>
    <col min="6" max="7" width="11.25" style="167" customWidth="1"/>
    <col min="8" max="9" width="12.625" style="167" customWidth="1"/>
    <col min="10" max="10" width="9.75" style="167" customWidth="1"/>
    <col min="11" max="11" width="13" style="170" customWidth="1"/>
    <col min="12" max="12" width="10.875" style="170" customWidth="1"/>
    <col min="13" max="13" width="11.875" style="170" customWidth="1"/>
    <col min="14" max="14" width="10.375" style="167" customWidth="1"/>
    <col min="15" max="16384" width="9" style="167"/>
  </cols>
  <sheetData>
    <row r="1" s="167" customFormat="1" ht="27" customHeight="1" spans="1:14">
      <c r="A1" s="171" t="s">
        <v>66</v>
      </c>
      <c r="B1" s="171"/>
      <c r="C1" s="171"/>
      <c r="D1" s="171"/>
      <c r="E1" s="171"/>
      <c r="F1" s="171"/>
      <c r="G1" s="171"/>
      <c r="H1" s="171"/>
      <c r="I1" s="171"/>
      <c r="J1" s="171"/>
      <c r="K1" s="171"/>
      <c r="L1" s="171"/>
      <c r="M1" s="171"/>
      <c r="N1" s="171"/>
    </row>
    <row r="2" s="168" customFormat="1" ht="30" customHeight="1" spans="1:19">
      <c r="A2" s="172" t="s">
        <v>67</v>
      </c>
      <c r="B2" s="172"/>
      <c r="C2" s="173"/>
      <c r="D2" s="173"/>
      <c r="E2" s="174" t="s">
        <v>2</v>
      </c>
      <c r="F2" s="174"/>
      <c r="G2" s="174"/>
      <c r="H2" s="174"/>
      <c r="I2" s="174"/>
      <c r="J2" s="173"/>
      <c r="K2" s="173"/>
      <c r="L2" s="193"/>
      <c r="M2" s="194" t="s">
        <v>3</v>
      </c>
      <c r="N2" s="194"/>
      <c r="O2" s="195"/>
      <c r="P2" s="195"/>
      <c r="Q2" s="195"/>
      <c r="R2" s="195"/>
      <c r="S2" s="195"/>
    </row>
    <row r="3" s="167" customFormat="1" ht="27.75" customHeight="1" spans="1:14">
      <c r="A3" s="175" t="s">
        <v>68</v>
      </c>
      <c r="B3" s="176" t="s">
        <v>69</v>
      </c>
      <c r="C3" s="177"/>
      <c r="D3" s="178"/>
      <c r="E3" s="176" t="s">
        <v>6</v>
      </c>
      <c r="F3" s="177"/>
      <c r="G3" s="178"/>
      <c r="H3" s="176" t="s">
        <v>70</v>
      </c>
      <c r="I3" s="177"/>
      <c r="J3" s="178"/>
      <c r="K3" s="196" t="s">
        <v>8</v>
      </c>
      <c r="L3" s="197"/>
      <c r="M3" s="198"/>
      <c r="N3" s="199" t="s">
        <v>71</v>
      </c>
    </row>
    <row r="4" s="167" customFormat="1" ht="27.75" customHeight="1" spans="1:14">
      <c r="A4" s="179"/>
      <c r="B4" s="180" t="s">
        <v>9</v>
      </c>
      <c r="C4" s="180" t="s">
        <v>10</v>
      </c>
      <c r="D4" s="180" t="s">
        <v>11</v>
      </c>
      <c r="E4" s="180" t="s">
        <v>9</v>
      </c>
      <c r="F4" s="180" t="s">
        <v>10</v>
      </c>
      <c r="G4" s="180" t="s">
        <v>11</v>
      </c>
      <c r="H4" s="180" t="s">
        <v>9</v>
      </c>
      <c r="I4" s="199" t="s">
        <v>10</v>
      </c>
      <c r="J4" s="180" t="s">
        <v>11</v>
      </c>
      <c r="K4" s="200" t="s">
        <v>9</v>
      </c>
      <c r="L4" s="201" t="s">
        <v>10</v>
      </c>
      <c r="M4" s="200" t="s">
        <v>11</v>
      </c>
      <c r="N4" s="202"/>
    </row>
    <row r="5" s="167" customFormat="1" ht="28.5" customHeight="1" spans="1:14">
      <c r="A5" s="181" t="s">
        <v>72</v>
      </c>
      <c r="B5" s="182">
        <f>C5+D5</f>
        <v>1047675</v>
      </c>
      <c r="C5" s="183">
        <f>附表1收入调整表2023!C8</f>
        <v>822805</v>
      </c>
      <c r="D5" s="183">
        <f>附表1收入调整表2023!D8</f>
        <v>224870</v>
      </c>
      <c r="E5" s="182">
        <f t="shared" ref="E5:E11" si="0">F5+G5</f>
        <v>904791.0038205</v>
      </c>
      <c r="F5" s="183">
        <f>附表1收入调整表2023!F8</f>
        <v>630918.0038205</v>
      </c>
      <c r="G5" s="183">
        <f>附表1收入调整表2023!G8</f>
        <v>273873</v>
      </c>
      <c r="H5" s="184">
        <f>E5-B5</f>
        <v>-142883.9961795</v>
      </c>
      <c r="I5" s="184">
        <f>F5-C5</f>
        <v>-191886.9961795</v>
      </c>
      <c r="J5" s="203">
        <f>G5-D5</f>
        <v>49003</v>
      </c>
      <c r="K5" s="204">
        <f>H5/B5*100</f>
        <v>-13.6381985042594</v>
      </c>
      <c r="L5" s="204">
        <f>I5/C5*100</f>
        <v>-23.3210780415165</v>
      </c>
      <c r="M5" s="205">
        <f>J5/D5*100</f>
        <v>21.7917018721928</v>
      </c>
      <c r="N5" s="206"/>
    </row>
    <row r="6" s="167" customFormat="1" ht="28.5" customHeight="1" spans="1:14">
      <c r="A6" s="181" t="s">
        <v>73</v>
      </c>
      <c r="B6" s="182">
        <f t="shared" ref="B5:B18" si="1">C6+D6</f>
        <v>92661.8</v>
      </c>
      <c r="C6" s="185">
        <f t="shared" ref="C6:G6" si="2">C7+C12</f>
        <v>91711.8</v>
      </c>
      <c r="D6" s="185">
        <f t="shared" si="2"/>
        <v>950</v>
      </c>
      <c r="E6" s="182">
        <f t="shared" si="0"/>
        <v>155762.25062</v>
      </c>
      <c r="F6" s="185">
        <f t="shared" si="2"/>
        <v>155762.25062</v>
      </c>
      <c r="G6" s="185">
        <f t="shared" si="2"/>
        <v>0</v>
      </c>
      <c r="H6" s="184">
        <f t="shared" ref="H6:H37" si="3">E6-B6</f>
        <v>63100.45062</v>
      </c>
      <c r="I6" s="184">
        <f t="shared" ref="I6:I37" si="4">F6-C6</f>
        <v>64050.45062</v>
      </c>
      <c r="J6" s="203">
        <f t="shared" ref="J6:J37" si="5">G6-D6</f>
        <v>-950</v>
      </c>
      <c r="K6" s="204">
        <f t="shared" ref="K6:K37" si="6">H6/B6*100</f>
        <v>68.0975878085684</v>
      </c>
      <c r="L6" s="204">
        <f t="shared" ref="L5:L12" si="7">I6/C6*100</f>
        <v>69.8388327565264</v>
      </c>
      <c r="M6" s="205">
        <f>J6/D6*100</f>
        <v>-100</v>
      </c>
      <c r="N6" s="206"/>
    </row>
    <row r="7" s="167" customFormat="1" ht="28.5" customHeight="1" spans="1:14">
      <c r="A7" s="181" t="s">
        <v>74</v>
      </c>
      <c r="B7" s="182">
        <f t="shared" si="1"/>
        <v>36516</v>
      </c>
      <c r="C7" s="182">
        <f>SUM(C8:C11)</f>
        <v>36516</v>
      </c>
      <c r="D7" s="182">
        <v>0</v>
      </c>
      <c r="E7" s="182">
        <f t="shared" si="0"/>
        <v>36516</v>
      </c>
      <c r="F7" s="182">
        <f>SUM(F8:F11)</f>
        <v>36516</v>
      </c>
      <c r="G7" s="182">
        <v>0</v>
      </c>
      <c r="H7" s="184">
        <f t="shared" si="3"/>
        <v>0</v>
      </c>
      <c r="I7" s="184">
        <f t="shared" si="4"/>
        <v>0</v>
      </c>
      <c r="J7" s="203">
        <f t="shared" si="5"/>
        <v>0</v>
      </c>
      <c r="K7" s="204">
        <f t="shared" si="6"/>
        <v>0</v>
      </c>
      <c r="L7" s="204">
        <f t="shared" si="7"/>
        <v>0</v>
      </c>
      <c r="M7" s="205">
        <v>0</v>
      </c>
      <c r="N7" s="206"/>
    </row>
    <row r="8" s="167" customFormat="1" ht="28.5" customHeight="1" spans="1:14">
      <c r="A8" s="186" t="s">
        <v>75</v>
      </c>
      <c r="B8" s="182">
        <f t="shared" si="1"/>
        <v>3181</v>
      </c>
      <c r="C8" s="185">
        <v>3181</v>
      </c>
      <c r="D8" s="185">
        <v>0</v>
      </c>
      <c r="E8" s="182">
        <f t="shared" si="0"/>
        <v>3181</v>
      </c>
      <c r="F8" s="185">
        <v>3181</v>
      </c>
      <c r="G8" s="185">
        <v>0</v>
      </c>
      <c r="H8" s="184">
        <f t="shared" si="3"/>
        <v>0</v>
      </c>
      <c r="I8" s="184">
        <f t="shared" si="4"/>
        <v>0</v>
      </c>
      <c r="J8" s="203">
        <f t="shared" si="5"/>
        <v>0</v>
      </c>
      <c r="K8" s="204">
        <f t="shared" si="6"/>
        <v>0</v>
      </c>
      <c r="L8" s="204">
        <f t="shared" si="7"/>
        <v>0</v>
      </c>
      <c r="M8" s="205">
        <v>0</v>
      </c>
      <c r="N8" s="206" t="s">
        <v>76</v>
      </c>
    </row>
    <row r="9" s="167" customFormat="1" ht="28.5" customHeight="1" spans="1:14">
      <c r="A9" s="186" t="s">
        <v>77</v>
      </c>
      <c r="B9" s="182">
        <f t="shared" si="1"/>
        <v>3409</v>
      </c>
      <c r="C9" s="185">
        <v>3409</v>
      </c>
      <c r="D9" s="185">
        <v>0</v>
      </c>
      <c r="E9" s="182">
        <f t="shared" si="0"/>
        <v>3409</v>
      </c>
      <c r="F9" s="185">
        <v>3409</v>
      </c>
      <c r="G9" s="185">
        <v>0</v>
      </c>
      <c r="H9" s="184">
        <f t="shared" si="3"/>
        <v>0</v>
      </c>
      <c r="I9" s="184">
        <f t="shared" si="4"/>
        <v>0</v>
      </c>
      <c r="J9" s="203">
        <f t="shared" si="5"/>
        <v>0</v>
      </c>
      <c r="K9" s="204">
        <f t="shared" si="6"/>
        <v>0</v>
      </c>
      <c r="L9" s="204">
        <f t="shared" si="7"/>
        <v>0</v>
      </c>
      <c r="M9" s="205">
        <v>0</v>
      </c>
      <c r="N9" s="206" t="s">
        <v>76</v>
      </c>
    </row>
    <row r="10" s="167" customFormat="1" ht="28.5" customHeight="1" spans="1:14">
      <c r="A10" s="186" t="s">
        <v>78</v>
      </c>
      <c r="B10" s="182">
        <f t="shared" si="1"/>
        <v>427</v>
      </c>
      <c r="C10" s="185">
        <v>427</v>
      </c>
      <c r="D10" s="185">
        <v>0</v>
      </c>
      <c r="E10" s="182">
        <f t="shared" si="0"/>
        <v>427</v>
      </c>
      <c r="F10" s="185">
        <v>427</v>
      </c>
      <c r="G10" s="185">
        <v>0</v>
      </c>
      <c r="H10" s="184">
        <f t="shared" si="3"/>
        <v>0</v>
      </c>
      <c r="I10" s="184">
        <f t="shared" si="4"/>
        <v>0</v>
      </c>
      <c r="J10" s="203">
        <f t="shared" si="5"/>
        <v>0</v>
      </c>
      <c r="K10" s="204">
        <f t="shared" si="6"/>
        <v>0</v>
      </c>
      <c r="L10" s="204">
        <f t="shared" si="7"/>
        <v>0</v>
      </c>
      <c r="M10" s="205">
        <v>0</v>
      </c>
      <c r="N10" s="206" t="s">
        <v>76</v>
      </c>
    </row>
    <row r="11" s="167" customFormat="1" ht="28.5" customHeight="1" spans="1:14">
      <c r="A11" s="186" t="s">
        <v>79</v>
      </c>
      <c r="B11" s="182">
        <f t="shared" si="1"/>
        <v>29499</v>
      </c>
      <c r="C11" s="185">
        <v>29499</v>
      </c>
      <c r="D11" s="185">
        <v>0</v>
      </c>
      <c r="E11" s="182">
        <f t="shared" si="0"/>
        <v>29499</v>
      </c>
      <c r="F11" s="185">
        <v>29499</v>
      </c>
      <c r="G11" s="185">
        <v>0</v>
      </c>
      <c r="H11" s="184">
        <f t="shared" si="3"/>
        <v>0</v>
      </c>
      <c r="I11" s="184">
        <f t="shared" si="4"/>
        <v>0</v>
      </c>
      <c r="J11" s="203">
        <f t="shared" si="5"/>
        <v>0</v>
      </c>
      <c r="K11" s="204">
        <f t="shared" si="6"/>
        <v>0</v>
      </c>
      <c r="L11" s="204">
        <f t="shared" si="7"/>
        <v>0</v>
      </c>
      <c r="M11" s="205">
        <v>0</v>
      </c>
      <c r="N11" s="206" t="s">
        <v>76</v>
      </c>
    </row>
    <row r="12" s="167" customFormat="1" ht="28.5" customHeight="1" spans="1:14">
      <c r="A12" s="181" t="s">
        <v>80</v>
      </c>
      <c r="B12" s="182">
        <f t="shared" si="1"/>
        <v>56145.8</v>
      </c>
      <c r="C12" s="185">
        <f>C13+C14+C19+C22+C29+C30+C31+C32+C33+C34+C35+C36+C37+C38+C39+C40+C41+C42+C43+C47+C44+C45</f>
        <v>55195.8</v>
      </c>
      <c r="D12" s="185">
        <f>D13+D14+D19+D22+D29+D30+D31+D32+D33+D34+D35+D36+D37+D38+D39+D40+D41+D42+D43+D47</f>
        <v>950</v>
      </c>
      <c r="E12" s="185">
        <f>E13+E14+E19+E22+E29+E30+E31+E32+E33+E34+E35+E36+E37+E38+E39+E40+E41+E42+E43+E47</f>
        <v>83223.25062</v>
      </c>
      <c r="F12" s="185">
        <f>F13+F14+F19+F22+F29+F30+F31+F32+F33+F34+F35+F36+F37+F38+F39+F40+F41+F42+F43+F47+F44+F45+F46</f>
        <v>119246.25062</v>
      </c>
      <c r="G12" s="185">
        <f>G13+G14+G19+G22+G29+G30+G31+G32+G33+G34+G35+G36+G37+G38+G39+G40+G41+G42+G43+G47+G44+G45+G46</f>
        <v>0</v>
      </c>
      <c r="H12" s="184">
        <f t="shared" si="3"/>
        <v>27077.45062</v>
      </c>
      <c r="I12" s="184">
        <f t="shared" si="4"/>
        <v>64050.45062</v>
      </c>
      <c r="J12" s="203">
        <f t="shared" si="5"/>
        <v>-950</v>
      </c>
      <c r="K12" s="204">
        <f t="shared" si="6"/>
        <v>48.2270278809813</v>
      </c>
      <c r="L12" s="204">
        <f t="shared" si="7"/>
        <v>116.042254338192</v>
      </c>
      <c r="M12" s="205">
        <v>0</v>
      </c>
      <c r="N12" s="206"/>
    </row>
    <row r="13" s="167" customFormat="1" ht="28.5" customHeight="1" spans="1:14">
      <c r="A13" s="181" t="s">
        <v>81</v>
      </c>
      <c r="B13" s="182">
        <f t="shared" si="1"/>
        <v>0</v>
      </c>
      <c r="C13" s="185">
        <v>0</v>
      </c>
      <c r="D13" s="185">
        <v>0</v>
      </c>
      <c r="E13" s="182">
        <f t="shared" ref="E13:E18" si="8">F13+G13</f>
        <v>0</v>
      </c>
      <c r="F13" s="185"/>
      <c r="G13" s="185">
        <v>0</v>
      </c>
      <c r="H13" s="184">
        <f t="shared" si="3"/>
        <v>0</v>
      </c>
      <c r="I13" s="184">
        <f t="shared" si="4"/>
        <v>0</v>
      </c>
      <c r="J13" s="203">
        <f t="shared" si="5"/>
        <v>0</v>
      </c>
      <c r="K13" s="205" t="s">
        <v>82</v>
      </c>
      <c r="L13" s="205" t="s">
        <v>82</v>
      </c>
      <c r="M13" s="205" t="s">
        <v>82</v>
      </c>
      <c r="N13" s="206" t="s">
        <v>83</v>
      </c>
    </row>
    <row r="14" s="167" customFormat="1" ht="28.5" customHeight="1" spans="1:14">
      <c r="A14" s="181" t="s">
        <v>84</v>
      </c>
      <c r="B14" s="182">
        <f t="shared" si="1"/>
        <v>10516</v>
      </c>
      <c r="C14" s="182">
        <f t="shared" ref="C14:G14" si="9">C15+C16+C17+C18</f>
        <v>10516</v>
      </c>
      <c r="D14" s="182">
        <v>0</v>
      </c>
      <c r="E14" s="182">
        <f t="shared" si="8"/>
        <v>13699</v>
      </c>
      <c r="F14" s="182">
        <f t="shared" si="9"/>
        <v>13699</v>
      </c>
      <c r="G14" s="182">
        <f t="shared" si="9"/>
        <v>0</v>
      </c>
      <c r="H14" s="184">
        <f t="shared" si="3"/>
        <v>3183</v>
      </c>
      <c r="I14" s="184">
        <f t="shared" si="4"/>
        <v>3183</v>
      </c>
      <c r="J14" s="203">
        <f t="shared" si="5"/>
        <v>0</v>
      </c>
      <c r="K14" s="204">
        <f t="shared" si="6"/>
        <v>30.2681627995436</v>
      </c>
      <c r="L14" s="204">
        <f>I14/C14*100</f>
        <v>30.2681627995436</v>
      </c>
      <c r="M14" s="205">
        <v>0</v>
      </c>
      <c r="N14" s="206" t="s">
        <v>83</v>
      </c>
    </row>
    <row r="15" s="167" customFormat="1" ht="28.5" customHeight="1" spans="1:14">
      <c r="A15" s="187" t="s">
        <v>85</v>
      </c>
      <c r="B15" s="182">
        <f t="shared" si="1"/>
        <v>1400</v>
      </c>
      <c r="C15" s="185">
        <v>1400</v>
      </c>
      <c r="D15" s="185">
        <v>0</v>
      </c>
      <c r="E15" s="182">
        <f t="shared" si="8"/>
        <v>1400</v>
      </c>
      <c r="F15" s="185">
        <v>1400</v>
      </c>
      <c r="G15" s="185">
        <v>0</v>
      </c>
      <c r="H15" s="184">
        <f t="shared" si="3"/>
        <v>0</v>
      </c>
      <c r="I15" s="184">
        <f t="shared" si="4"/>
        <v>0</v>
      </c>
      <c r="J15" s="203">
        <f t="shared" si="5"/>
        <v>0</v>
      </c>
      <c r="K15" s="204">
        <f t="shared" si="6"/>
        <v>0</v>
      </c>
      <c r="L15" s="204">
        <f>I15/C15*100</f>
        <v>0</v>
      </c>
      <c r="M15" s="205">
        <v>0</v>
      </c>
      <c r="N15" s="206"/>
    </row>
    <row r="16" s="167" customFormat="1" ht="28.5" customHeight="1" spans="1:14">
      <c r="A16" s="188" t="s">
        <v>86</v>
      </c>
      <c r="B16" s="182">
        <f t="shared" si="1"/>
        <v>1074</v>
      </c>
      <c r="C16" s="185">
        <v>1074</v>
      </c>
      <c r="D16" s="185">
        <v>0</v>
      </c>
      <c r="E16" s="182">
        <f t="shared" si="8"/>
        <v>1074</v>
      </c>
      <c r="F16" s="185">
        <v>1074</v>
      </c>
      <c r="G16" s="185">
        <v>0</v>
      </c>
      <c r="H16" s="184">
        <f t="shared" si="3"/>
        <v>0</v>
      </c>
      <c r="I16" s="184">
        <f t="shared" si="4"/>
        <v>0</v>
      </c>
      <c r="J16" s="203">
        <f t="shared" si="5"/>
        <v>0</v>
      </c>
      <c r="K16" s="204">
        <f t="shared" si="6"/>
        <v>0</v>
      </c>
      <c r="L16" s="204">
        <f>I16/C16*100</f>
        <v>0</v>
      </c>
      <c r="M16" s="205">
        <v>0</v>
      </c>
      <c r="N16" s="206" t="s">
        <v>76</v>
      </c>
    </row>
    <row r="17" s="167" customFormat="1" ht="28.5" customHeight="1" spans="1:14">
      <c r="A17" s="187" t="s">
        <v>87</v>
      </c>
      <c r="B17" s="182">
        <f t="shared" si="1"/>
        <v>8042</v>
      </c>
      <c r="C17" s="185">
        <v>8042</v>
      </c>
      <c r="D17" s="185">
        <v>0</v>
      </c>
      <c r="E17" s="182">
        <f t="shared" si="8"/>
        <v>8042</v>
      </c>
      <c r="F17" s="185">
        <v>8042</v>
      </c>
      <c r="G17" s="185">
        <v>0</v>
      </c>
      <c r="H17" s="184">
        <f t="shared" si="3"/>
        <v>0</v>
      </c>
      <c r="I17" s="184">
        <f t="shared" si="4"/>
        <v>0</v>
      </c>
      <c r="J17" s="203">
        <f t="shared" si="5"/>
        <v>0</v>
      </c>
      <c r="K17" s="204">
        <f t="shared" si="6"/>
        <v>0</v>
      </c>
      <c r="L17" s="204">
        <f>I17/C17*100</f>
        <v>0</v>
      </c>
      <c r="M17" s="205">
        <v>0</v>
      </c>
      <c r="N17" s="206" t="s">
        <v>76</v>
      </c>
    </row>
    <row r="18" s="167" customFormat="1" ht="47.25" customHeight="1" spans="1:14">
      <c r="A18" s="187" t="s">
        <v>88</v>
      </c>
      <c r="B18" s="182">
        <f t="shared" si="1"/>
        <v>0</v>
      </c>
      <c r="C18" s="185">
        <v>0</v>
      </c>
      <c r="D18" s="185">
        <v>0</v>
      </c>
      <c r="E18" s="182">
        <f t="shared" si="8"/>
        <v>3183</v>
      </c>
      <c r="F18" s="185">
        <v>3183</v>
      </c>
      <c r="G18" s="185">
        <v>0</v>
      </c>
      <c r="H18" s="184">
        <f t="shared" si="3"/>
        <v>3183</v>
      </c>
      <c r="I18" s="184">
        <f t="shared" si="4"/>
        <v>3183</v>
      </c>
      <c r="J18" s="203">
        <f t="shared" si="5"/>
        <v>0</v>
      </c>
      <c r="K18" s="204" t="s">
        <v>82</v>
      </c>
      <c r="L18" s="204" t="s">
        <v>82</v>
      </c>
      <c r="M18" s="205" t="s">
        <v>82</v>
      </c>
      <c r="N18" s="206" t="s">
        <v>76</v>
      </c>
    </row>
    <row r="19" s="167" customFormat="1" ht="28.5" customHeight="1" spans="1:14">
      <c r="A19" s="181" t="s">
        <v>89</v>
      </c>
      <c r="B19" s="182">
        <f t="shared" ref="B19:G19" si="10">SUM(B20:B21)</f>
        <v>1030</v>
      </c>
      <c r="C19" s="182">
        <f t="shared" si="10"/>
        <v>1030</v>
      </c>
      <c r="D19" s="182">
        <f t="shared" si="10"/>
        <v>0</v>
      </c>
      <c r="E19" s="182">
        <f t="shared" si="10"/>
        <v>1136</v>
      </c>
      <c r="F19" s="182">
        <f t="shared" si="10"/>
        <v>1136</v>
      </c>
      <c r="G19" s="182">
        <f t="shared" si="10"/>
        <v>0</v>
      </c>
      <c r="H19" s="184">
        <f t="shared" si="3"/>
        <v>106</v>
      </c>
      <c r="I19" s="184">
        <f t="shared" si="4"/>
        <v>106</v>
      </c>
      <c r="J19" s="203">
        <f t="shared" si="5"/>
        <v>0</v>
      </c>
      <c r="K19" s="204">
        <f t="shared" si="6"/>
        <v>10.2912621359223</v>
      </c>
      <c r="L19" s="204">
        <f>I19/C19*100</f>
        <v>10.2912621359223</v>
      </c>
      <c r="M19" s="205">
        <v>0</v>
      </c>
      <c r="N19" s="206" t="s">
        <v>76</v>
      </c>
    </row>
    <row r="20" s="167" customFormat="1" ht="28.5" customHeight="1" spans="1:14">
      <c r="A20" s="187" t="s">
        <v>90</v>
      </c>
      <c r="B20" s="182">
        <f t="shared" ref="B20:B71" si="11">C20+D20</f>
        <v>467</v>
      </c>
      <c r="C20" s="185">
        <v>467</v>
      </c>
      <c r="D20" s="185">
        <v>0</v>
      </c>
      <c r="E20" s="182">
        <f t="shared" ref="E20:E46" si="12">F20+G20</f>
        <v>467</v>
      </c>
      <c r="F20" s="185">
        <v>467</v>
      </c>
      <c r="G20" s="185">
        <v>0</v>
      </c>
      <c r="H20" s="184">
        <f t="shared" si="3"/>
        <v>0</v>
      </c>
      <c r="I20" s="184">
        <f t="shared" si="4"/>
        <v>0</v>
      </c>
      <c r="J20" s="203">
        <f t="shared" si="5"/>
        <v>0</v>
      </c>
      <c r="K20" s="204">
        <f t="shared" si="6"/>
        <v>0</v>
      </c>
      <c r="L20" s="204">
        <f>I20/C20*100</f>
        <v>0</v>
      </c>
      <c r="M20" s="205">
        <v>0</v>
      </c>
      <c r="N20" s="206" t="s">
        <v>76</v>
      </c>
    </row>
    <row r="21" s="167" customFormat="1" ht="75" customHeight="1" spans="1:14">
      <c r="A21" s="187" t="s">
        <v>91</v>
      </c>
      <c r="B21" s="182">
        <f t="shared" si="11"/>
        <v>563</v>
      </c>
      <c r="C21" s="185">
        <v>563</v>
      </c>
      <c r="D21" s="185">
        <v>0</v>
      </c>
      <c r="E21" s="182">
        <f t="shared" si="12"/>
        <v>669</v>
      </c>
      <c r="F21" s="185">
        <v>669</v>
      </c>
      <c r="G21" s="185">
        <v>0</v>
      </c>
      <c r="H21" s="184">
        <f t="shared" si="3"/>
        <v>106</v>
      </c>
      <c r="I21" s="184">
        <f t="shared" si="4"/>
        <v>106</v>
      </c>
      <c r="J21" s="203">
        <f t="shared" si="5"/>
        <v>0</v>
      </c>
      <c r="K21" s="204">
        <v>0</v>
      </c>
      <c r="L21" s="204">
        <v>0</v>
      </c>
      <c r="M21" s="205">
        <v>0</v>
      </c>
      <c r="N21" s="206" t="s">
        <v>76</v>
      </c>
    </row>
    <row r="22" s="167" customFormat="1" ht="51" customHeight="1" spans="1:14">
      <c r="A22" s="189" t="s">
        <v>92</v>
      </c>
      <c r="B22" s="182">
        <f t="shared" si="11"/>
        <v>3950</v>
      </c>
      <c r="C22" s="185">
        <f>C23+C24+C25+C26+C28+C27</f>
        <v>3000</v>
      </c>
      <c r="D22" s="185">
        <f t="shared" ref="D22:G22" si="13">D23+D24+D25+D26+D28</f>
        <v>950</v>
      </c>
      <c r="E22" s="182">
        <f t="shared" si="12"/>
        <v>5126.58</v>
      </c>
      <c r="F22" s="185">
        <f t="shared" si="13"/>
        <v>5126.58</v>
      </c>
      <c r="G22" s="185">
        <f t="shared" si="13"/>
        <v>0</v>
      </c>
      <c r="H22" s="184">
        <f t="shared" si="3"/>
        <v>1176.58</v>
      </c>
      <c r="I22" s="184">
        <f t="shared" si="4"/>
        <v>2126.58</v>
      </c>
      <c r="J22" s="203">
        <f t="shared" si="5"/>
        <v>-950</v>
      </c>
      <c r="K22" s="204">
        <f t="shared" si="6"/>
        <v>29.786835443038</v>
      </c>
      <c r="L22" s="204">
        <f>I22/C22*100</f>
        <v>70.886</v>
      </c>
      <c r="M22" s="205">
        <v>0</v>
      </c>
      <c r="N22" s="206" t="s">
        <v>76</v>
      </c>
    </row>
    <row r="23" s="167" customFormat="1" ht="43.5" customHeight="1" spans="1:14">
      <c r="A23" s="190" t="s">
        <v>93</v>
      </c>
      <c r="B23" s="182">
        <f t="shared" si="11"/>
        <v>3000</v>
      </c>
      <c r="C23" s="185">
        <v>3000</v>
      </c>
      <c r="D23" s="185">
        <v>0</v>
      </c>
      <c r="E23" s="182">
        <f t="shared" si="12"/>
        <v>3000</v>
      </c>
      <c r="F23" s="185">
        <v>3000</v>
      </c>
      <c r="G23" s="185">
        <v>0</v>
      </c>
      <c r="H23" s="184">
        <f t="shared" si="3"/>
        <v>0</v>
      </c>
      <c r="I23" s="184">
        <f t="shared" si="4"/>
        <v>0</v>
      </c>
      <c r="J23" s="203">
        <f t="shared" si="5"/>
        <v>0</v>
      </c>
      <c r="K23" s="204">
        <f t="shared" si="6"/>
        <v>0</v>
      </c>
      <c r="L23" s="204">
        <f>I23/C23*100</f>
        <v>0</v>
      </c>
      <c r="M23" s="205">
        <v>0</v>
      </c>
      <c r="N23" s="206" t="s">
        <v>76</v>
      </c>
    </row>
    <row r="24" s="167" customFormat="1" ht="55.5" customHeight="1" spans="1:14">
      <c r="A24" s="190" t="s">
        <v>94</v>
      </c>
      <c r="B24" s="182">
        <f t="shared" si="11"/>
        <v>0</v>
      </c>
      <c r="C24" s="185"/>
      <c r="D24" s="185"/>
      <c r="E24" s="182">
        <f t="shared" si="12"/>
        <v>135</v>
      </c>
      <c r="F24" s="185">
        <v>135</v>
      </c>
      <c r="G24" s="185">
        <v>0</v>
      </c>
      <c r="H24" s="184">
        <f t="shared" si="3"/>
        <v>135</v>
      </c>
      <c r="I24" s="184">
        <f t="shared" si="4"/>
        <v>135</v>
      </c>
      <c r="J24" s="203">
        <f t="shared" si="5"/>
        <v>0</v>
      </c>
      <c r="K24" s="204">
        <v>0</v>
      </c>
      <c r="L24" s="204">
        <v>0</v>
      </c>
      <c r="M24" s="205">
        <v>0</v>
      </c>
      <c r="N24" s="206" t="s">
        <v>76</v>
      </c>
    </row>
    <row r="25" s="167" customFormat="1" ht="28.5" customHeight="1" spans="1:14">
      <c r="A25" s="188" t="s">
        <v>95</v>
      </c>
      <c r="B25" s="182">
        <f t="shared" si="11"/>
        <v>0</v>
      </c>
      <c r="C25" s="185"/>
      <c r="D25" s="185"/>
      <c r="E25" s="182">
        <f t="shared" si="12"/>
        <v>0</v>
      </c>
      <c r="F25" s="185"/>
      <c r="G25" s="185">
        <v>0</v>
      </c>
      <c r="H25" s="184">
        <f t="shared" si="3"/>
        <v>0</v>
      </c>
      <c r="I25" s="184">
        <f t="shared" si="4"/>
        <v>0</v>
      </c>
      <c r="J25" s="203">
        <f t="shared" si="5"/>
        <v>0</v>
      </c>
      <c r="K25" s="204" t="s">
        <v>82</v>
      </c>
      <c r="L25" s="204" t="s">
        <v>82</v>
      </c>
      <c r="M25" s="204" t="s">
        <v>82</v>
      </c>
      <c r="N25" s="206" t="s">
        <v>76</v>
      </c>
    </row>
    <row r="26" s="167" customFormat="1" ht="28.5" customHeight="1" spans="1:14">
      <c r="A26" s="188" t="s">
        <v>96</v>
      </c>
      <c r="B26" s="182">
        <f t="shared" si="11"/>
        <v>0</v>
      </c>
      <c r="C26" s="185"/>
      <c r="D26" s="185"/>
      <c r="E26" s="182">
        <f t="shared" si="12"/>
        <v>0</v>
      </c>
      <c r="F26" s="185"/>
      <c r="G26" s="185">
        <v>0</v>
      </c>
      <c r="H26" s="184">
        <f t="shared" si="3"/>
        <v>0</v>
      </c>
      <c r="I26" s="184">
        <f t="shared" si="4"/>
        <v>0</v>
      </c>
      <c r="J26" s="203">
        <f t="shared" si="5"/>
        <v>0</v>
      </c>
      <c r="K26" s="204" t="s">
        <v>82</v>
      </c>
      <c r="L26" s="204" t="s">
        <v>82</v>
      </c>
      <c r="M26" s="205" t="s">
        <v>82</v>
      </c>
      <c r="N26" s="206" t="s">
        <v>76</v>
      </c>
    </row>
    <row r="27" s="167" customFormat="1" ht="43.5" customHeight="1" spans="1:14">
      <c r="A27" s="188" t="s">
        <v>97</v>
      </c>
      <c r="B27" s="182">
        <f t="shared" si="11"/>
        <v>0</v>
      </c>
      <c r="C27" s="185"/>
      <c r="D27" s="185"/>
      <c r="E27" s="182">
        <f t="shared" si="12"/>
        <v>0</v>
      </c>
      <c r="F27" s="185"/>
      <c r="G27" s="185">
        <v>0</v>
      </c>
      <c r="H27" s="184">
        <f t="shared" si="3"/>
        <v>0</v>
      </c>
      <c r="I27" s="184">
        <f t="shared" si="4"/>
        <v>0</v>
      </c>
      <c r="J27" s="203">
        <f t="shared" si="5"/>
        <v>0</v>
      </c>
      <c r="K27" s="204" t="s">
        <v>82</v>
      </c>
      <c r="L27" s="204" t="s">
        <v>82</v>
      </c>
      <c r="M27" s="205" t="s">
        <v>82</v>
      </c>
      <c r="N27" s="206" t="s">
        <v>83</v>
      </c>
    </row>
    <row r="28" s="167" customFormat="1" ht="28.5" customHeight="1" spans="1:14">
      <c r="A28" s="188" t="s">
        <v>98</v>
      </c>
      <c r="B28" s="182">
        <f t="shared" si="11"/>
        <v>950</v>
      </c>
      <c r="C28" s="185">
        <v>0</v>
      </c>
      <c r="D28" s="185">
        <v>950</v>
      </c>
      <c r="E28" s="182">
        <f t="shared" si="12"/>
        <v>1991.58</v>
      </c>
      <c r="F28" s="185">
        <v>1991.58</v>
      </c>
      <c r="G28" s="185">
        <v>0</v>
      </c>
      <c r="H28" s="184">
        <f t="shared" si="3"/>
        <v>1041.58</v>
      </c>
      <c r="I28" s="184">
        <f t="shared" si="4"/>
        <v>1991.58</v>
      </c>
      <c r="J28" s="203">
        <f t="shared" si="5"/>
        <v>-950</v>
      </c>
      <c r="K28" s="204">
        <f t="shared" si="6"/>
        <v>109.64</v>
      </c>
      <c r="L28" s="204" t="s">
        <v>82</v>
      </c>
      <c r="M28" s="205">
        <f>J28/D28*100</f>
        <v>-100</v>
      </c>
      <c r="N28" s="206" t="s">
        <v>83</v>
      </c>
    </row>
    <row r="29" s="167" customFormat="1" ht="28.5" customHeight="1" spans="1:14">
      <c r="A29" s="191" t="s">
        <v>99</v>
      </c>
      <c r="B29" s="182">
        <f t="shared" si="11"/>
        <v>0</v>
      </c>
      <c r="C29" s="185"/>
      <c r="D29" s="185"/>
      <c r="E29" s="182">
        <f t="shared" si="12"/>
        <v>0</v>
      </c>
      <c r="F29" s="185"/>
      <c r="G29" s="185"/>
      <c r="H29" s="184">
        <f t="shared" si="3"/>
        <v>0</v>
      </c>
      <c r="I29" s="184">
        <f t="shared" si="4"/>
        <v>0</v>
      </c>
      <c r="J29" s="203">
        <f t="shared" si="5"/>
        <v>0</v>
      </c>
      <c r="K29" s="204" t="s">
        <v>82</v>
      </c>
      <c r="L29" s="204" t="s">
        <v>82</v>
      </c>
      <c r="M29" s="205">
        <v>0</v>
      </c>
      <c r="N29" s="206" t="s">
        <v>83</v>
      </c>
    </row>
    <row r="30" s="167" customFormat="1" ht="28.5" customHeight="1" spans="1:14">
      <c r="A30" s="191" t="s">
        <v>100</v>
      </c>
      <c r="B30" s="182">
        <f t="shared" si="11"/>
        <v>0</v>
      </c>
      <c r="C30" s="185"/>
      <c r="D30" s="185"/>
      <c r="E30" s="182">
        <f t="shared" si="12"/>
        <v>0</v>
      </c>
      <c r="F30" s="185"/>
      <c r="G30" s="185"/>
      <c r="H30" s="184">
        <f t="shared" si="3"/>
        <v>0</v>
      </c>
      <c r="I30" s="184">
        <f t="shared" si="4"/>
        <v>0</v>
      </c>
      <c r="J30" s="203">
        <f t="shared" si="5"/>
        <v>0</v>
      </c>
      <c r="K30" s="204">
        <v>0</v>
      </c>
      <c r="L30" s="204">
        <v>0</v>
      </c>
      <c r="M30" s="205">
        <v>0</v>
      </c>
      <c r="N30" s="206"/>
    </row>
    <row r="31" s="167" customFormat="1" ht="28.5" customHeight="1" spans="1:14">
      <c r="A31" s="191" t="s">
        <v>101</v>
      </c>
      <c r="B31" s="182">
        <f t="shared" si="11"/>
        <v>0</v>
      </c>
      <c r="C31" s="185"/>
      <c r="D31" s="185"/>
      <c r="E31" s="182">
        <f t="shared" si="12"/>
        <v>11.19</v>
      </c>
      <c r="F31" s="185">
        <v>11.19</v>
      </c>
      <c r="G31" s="185">
        <v>0</v>
      </c>
      <c r="H31" s="184">
        <f t="shared" si="3"/>
        <v>11.19</v>
      </c>
      <c r="I31" s="184">
        <f t="shared" si="4"/>
        <v>11.19</v>
      </c>
      <c r="J31" s="203">
        <f t="shared" si="5"/>
        <v>0</v>
      </c>
      <c r="K31" s="204" t="s">
        <v>82</v>
      </c>
      <c r="L31" s="204" t="s">
        <v>82</v>
      </c>
      <c r="M31" s="205" t="s">
        <v>82</v>
      </c>
      <c r="N31" s="206" t="s">
        <v>83</v>
      </c>
    </row>
    <row r="32" s="167" customFormat="1" ht="28.5" customHeight="1" spans="1:14">
      <c r="A32" s="191" t="s">
        <v>102</v>
      </c>
      <c r="B32" s="182">
        <f t="shared" si="11"/>
        <v>0</v>
      </c>
      <c r="C32" s="185"/>
      <c r="D32" s="185"/>
      <c r="E32" s="182">
        <f t="shared" si="12"/>
        <v>1663.3</v>
      </c>
      <c r="F32" s="185">
        <f>50+1613.3</f>
        <v>1663.3</v>
      </c>
      <c r="G32" s="185">
        <v>0</v>
      </c>
      <c r="H32" s="184">
        <f t="shared" si="3"/>
        <v>1663.3</v>
      </c>
      <c r="I32" s="184">
        <f t="shared" si="4"/>
        <v>1663.3</v>
      </c>
      <c r="J32" s="203">
        <f t="shared" si="5"/>
        <v>0</v>
      </c>
      <c r="K32" s="204" t="s">
        <v>82</v>
      </c>
      <c r="L32" s="204" t="s">
        <v>82</v>
      </c>
      <c r="M32" s="205" t="s">
        <v>82</v>
      </c>
      <c r="N32" s="206" t="s">
        <v>83</v>
      </c>
    </row>
    <row r="33" s="167" customFormat="1" ht="28.5" customHeight="1" spans="1:14">
      <c r="A33" s="191" t="s">
        <v>103</v>
      </c>
      <c r="B33" s="182">
        <f t="shared" si="11"/>
        <v>0</v>
      </c>
      <c r="C33" s="185"/>
      <c r="D33" s="185"/>
      <c r="E33" s="182">
        <f t="shared" si="12"/>
        <v>5770.99</v>
      </c>
      <c r="F33" s="185">
        <v>5770.99</v>
      </c>
      <c r="G33" s="185">
        <v>0</v>
      </c>
      <c r="H33" s="184">
        <f t="shared" si="3"/>
        <v>5770.99</v>
      </c>
      <c r="I33" s="184">
        <f t="shared" si="4"/>
        <v>5770.99</v>
      </c>
      <c r="J33" s="203">
        <f t="shared" si="5"/>
        <v>0</v>
      </c>
      <c r="K33" s="204" t="s">
        <v>82</v>
      </c>
      <c r="L33" s="204" t="s">
        <v>82</v>
      </c>
      <c r="M33" s="205" t="s">
        <v>82</v>
      </c>
      <c r="N33" s="206" t="s">
        <v>83</v>
      </c>
    </row>
    <row r="34" s="167" customFormat="1" ht="28.5" customHeight="1" spans="1:14">
      <c r="A34" s="191" t="s">
        <v>104</v>
      </c>
      <c r="B34" s="182">
        <f t="shared" si="11"/>
        <v>0</v>
      </c>
      <c r="C34" s="185"/>
      <c r="D34" s="185"/>
      <c r="E34" s="182">
        <f t="shared" si="12"/>
        <v>10</v>
      </c>
      <c r="F34" s="185">
        <v>10</v>
      </c>
      <c r="G34" s="185">
        <v>0</v>
      </c>
      <c r="H34" s="184">
        <f t="shared" si="3"/>
        <v>10</v>
      </c>
      <c r="I34" s="184">
        <f t="shared" si="4"/>
        <v>10</v>
      </c>
      <c r="J34" s="203">
        <f t="shared" si="5"/>
        <v>0</v>
      </c>
      <c r="K34" s="204">
        <v>0</v>
      </c>
      <c r="L34" s="204">
        <v>0</v>
      </c>
      <c r="M34" s="205">
        <v>0</v>
      </c>
      <c r="N34" s="206" t="s">
        <v>83</v>
      </c>
    </row>
    <row r="35" s="167" customFormat="1" ht="28.5" customHeight="1" spans="1:14">
      <c r="A35" s="191" t="s">
        <v>105</v>
      </c>
      <c r="B35" s="182">
        <f t="shared" si="11"/>
        <v>0</v>
      </c>
      <c r="C35" s="185"/>
      <c r="D35" s="185"/>
      <c r="E35" s="182">
        <f t="shared" si="12"/>
        <v>186.2</v>
      </c>
      <c r="F35" s="185">
        <v>186.2</v>
      </c>
      <c r="G35" s="185">
        <v>0</v>
      </c>
      <c r="H35" s="184">
        <f t="shared" si="3"/>
        <v>186.2</v>
      </c>
      <c r="I35" s="184">
        <f t="shared" si="4"/>
        <v>186.2</v>
      </c>
      <c r="J35" s="203">
        <f t="shared" si="5"/>
        <v>0</v>
      </c>
      <c r="K35" s="204" t="s">
        <v>82</v>
      </c>
      <c r="L35" s="204" t="s">
        <v>82</v>
      </c>
      <c r="M35" s="205" t="s">
        <v>82</v>
      </c>
      <c r="N35" s="206" t="s">
        <v>83</v>
      </c>
    </row>
    <row r="36" s="167" customFormat="1" ht="28.5" customHeight="1" spans="1:14">
      <c r="A36" s="191" t="s">
        <v>106</v>
      </c>
      <c r="B36" s="182">
        <f t="shared" si="11"/>
        <v>0</v>
      </c>
      <c r="C36" s="185"/>
      <c r="D36" s="185"/>
      <c r="E36" s="182">
        <f t="shared" si="12"/>
        <v>20710.22632</v>
      </c>
      <c r="F36" s="185">
        <v>20710.22632</v>
      </c>
      <c r="G36" s="185">
        <v>0</v>
      </c>
      <c r="H36" s="184">
        <f t="shared" si="3"/>
        <v>20710.22632</v>
      </c>
      <c r="I36" s="184">
        <f t="shared" si="4"/>
        <v>20710.22632</v>
      </c>
      <c r="J36" s="203">
        <f t="shared" si="5"/>
        <v>0</v>
      </c>
      <c r="K36" s="204" t="s">
        <v>82</v>
      </c>
      <c r="L36" s="204" t="s">
        <v>82</v>
      </c>
      <c r="M36" s="205" t="s">
        <v>82</v>
      </c>
      <c r="N36" s="206" t="s">
        <v>83</v>
      </c>
    </row>
    <row r="37" s="167" customFormat="1" ht="39.75" customHeight="1" spans="1:14">
      <c r="A37" s="191" t="s">
        <v>107</v>
      </c>
      <c r="B37" s="182">
        <f t="shared" si="11"/>
        <v>0</v>
      </c>
      <c r="C37" s="185"/>
      <c r="D37" s="185"/>
      <c r="E37" s="182">
        <f t="shared" si="12"/>
        <v>7532.66</v>
      </c>
      <c r="F37" s="185">
        <v>7532.66</v>
      </c>
      <c r="G37" s="185">
        <v>0</v>
      </c>
      <c r="H37" s="184">
        <f t="shared" si="3"/>
        <v>7532.66</v>
      </c>
      <c r="I37" s="184">
        <f t="shared" si="4"/>
        <v>7532.66</v>
      </c>
      <c r="J37" s="203">
        <f t="shared" si="5"/>
        <v>0</v>
      </c>
      <c r="K37" s="204" t="s">
        <v>82</v>
      </c>
      <c r="L37" s="204" t="s">
        <v>82</v>
      </c>
      <c r="M37" s="205" t="s">
        <v>82</v>
      </c>
      <c r="N37" s="206" t="s">
        <v>83</v>
      </c>
    </row>
    <row r="38" s="167" customFormat="1" ht="51.75" customHeight="1" spans="1:14">
      <c r="A38" s="191" t="s">
        <v>108</v>
      </c>
      <c r="B38" s="182">
        <f t="shared" si="11"/>
        <v>0</v>
      </c>
      <c r="C38" s="185"/>
      <c r="D38" s="185"/>
      <c r="E38" s="182">
        <f t="shared" si="12"/>
        <v>983.14</v>
      </c>
      <c r="F38" s="185">
        <v>983.14</v>
      </c>
      <c r="G38" s="185">
        <v>0</v>
      </c>
      <c r="H38" s="184">
        <f t="shared" ref="H38:H85" si="14">E38-B38</f>
        <v>983.14</v>
      </c>
      <c r="I38" s="184">
        <f t="shared" ref="I38:I85" si="15">F38-C38</f>
        <v>983.14</v>
      </c>
      <c r="J38" s="203">
        <f t="shared" ref="J38:J85" si="16">G38-D38</f>
        <v>0</v>
      </c>
      <c r="K38" s="204" t="s">
        <v>82</v>
      </c>
      <c r="L38" s="204" t="s">
        <v>82</v>
      </c>
      <c r="M38" s="205" t="s">
        <v>82</v>
      </c>
      <c r="N38" s="206" t="s">
        <v>83</v>
      </c>
    </row>
    <row r="39" s="167" customFormat="1" ht="28.5" customHeight="1" spans="1:14">
      <c r="A39" s="191" t="s">
        <v>109</v>
      </c>
      <c r="B39" s="182">
        <f t="shared" si="11"/>
        <v>1353.8</v>
      </c>
      <c r="C39" s="185">
        <v>1353.8</v>
      </c>
      <c r="D39" s="185">
        <v>0</v>
      </c>
      <c r="E39" s="182">
        <f t="shared" si="12"/>
        <v>14945.6343</v>
      </c>
      <c r="F39" s="185">
        <v>14945.6343</v>
      </c>
      <c r="G39" s="185">
        <v>0</v>
      </c>
      <c r="H39" s="184">
        <f t="shared" si="14"/>
        <v>13591.8343</v>
      </c>
      <c r="I39" s="184">
        <f t="shared" si="15"/>
        <v>13591.8343</v>
      </c>
      <c r="J39" s="203">
        <f t="shared" si="16"/>
        <v>0</v>
      </c>
      <c r="K39" s="204">
        <v>0</v>
      </c>
      <c r="L39" s="204">
        <v>0</v>
      </c>
      <c r="M39" s="205">
        <v>0</v>
      </c>
      <c r="N39" s="206" t="s">
        <v>83</v>
      </c>
    </row>
    <row r="40" s="167" customFormat="1" ht="28.5" customHeight="1" spans="1:14">
      <c r="A40" s="191" t="s">
        <v>110</v>
      </c>
      <c r="B40" s="182">
        <f t="shared" si="11"/>
        <v>0</v>
      </c>
      <c r="C40" s="185"/>
      <c r="D40" s="185"/>
      <c r="E40" s="182">
        <f t="shared" si="12"/>
        <v>2093.59</v>
      </c>
      <c r="F40" s="185">
        <v>2093.59</v>
      </c>
      <c r="G40" s="185">
        <v>0</v>
      </c>
      <c r="H40" s="184">
        <f t="shared" si="14"/>
        <v>2093.59</v>
      </c>
      <c r="I40" s="184">
        <f t="shared" si="15"/>
        <v>2093.59</v>
      </c>
      <c r="J40" s="203">
        <f t="shared" si="16"/>
        <v>0</v>
      </c>
      <c r="K40" s="204" t="s">
        <v>82</v>
      </c>
      <c r="L40" s="204" t="s">
        <v>82</v>
      </c>
      <c r="M40" s="205" t="s">
        <v>82</v>
      </c>
      <c r="N40" s="206"/>
    </row>
    <row r="41" s="167" customFormat="1" ht="28.5" customHeight="1" spans="1:14">
      <c r="A41" s="191" t="s">
        <v>111</v>
      </c>
      <c r="B41" s="182">
        <f t="shared" si="11"/>
        <v>0</v>
      </c>
      <c r="C41" s="185"/>
      <c r="D41" s="185"/>
      <c r="E41" s="182">
        <f t="shared" si="12"/>
        <v>0</v>
      </c>
      <c r="F41" s="185"/>
      <c r="G41" s="185">
        <v>0</v>
      </c>
      <c r="H41" s="184">
        <f t="shared" si="14"/>
        <v>0</v>
      </c>
      <c r="I41" s="184">
        <f t="shared" si="15"/>
        <v>0</v>
      </c>
      <c r="J41" s="203">
        <f t="shared" si="16"/>
        <v>0</v>
      </c>
      <c r="K41" s="204" t="s">
        <v>82</v>
      </c>
      <c r="L41" s="204" t="s">
        <v>82</v>
      </c>
      <c r="M41" s="205" t="s">
        <v>82</v>
      </c>
      <c r="N41" s="206" t="s">
        <v>76</v>
      </c>
    </row>
    <row r="42" s="167" customFormat="1" ht="28.5" customHeight="1" spans="1:14">
      <c r="A42" s="191" t="s">
        <v>112</v>
      </c>
      <c r="B42" s="182">
        <f t="shared" si="11"/>
        <v>0</v>
      </c>
      <c r="C42" s="185"/>
      <c r="D42" s="185"/>
      <c r="E42" s="182">
        <f t="shared" si="12"/>
        <v>3648</v>
      </c>
      <c r="F42" s="185">
        <v>3648</v>
      </c>
      <c r="G42" s="185">
        <v>0</v>
      </c>
      <c r="H42" s="184">
        <f t="shared" si="14"/>
        <v>3648</v>
      </c>
      <c r="I42" s="184">
        <f t="shared" si="15"/>
        <v>3648</v>
      </c>
      <c r="J42" s="203">
        <f t="shared" si="16"/>
        <v>0</v>
      </c>
      <c r="K42" s="204" t="s">
        <v>82</v>
      </c>
      <c r="L42" s="204" t="s">
        <v>82</v>
      </c>
      <c r="M42" s="205" t="s">
        <v>82</v>
      </c>
      <c r="N42" s="206" t="s">
        <v>83</v>
      </c>
    </row>
    <row r="43" s="167" customFormat="1" ht="28.5" customHeight="1" spans="1:14">
      <c r="A43" s="191" t="s">
        <v>113</v>
      </c>
      <c r="B43" s="182">
        <f t="shared" si="11"/>
        <v>0</v>
      </c>
      <c r="C43" s="185"/>
      <c r="D43" s="185"/>
      <c r="E43" s="182">
        <f t="shared" si="12"/>
        <v>350</v>
      </c>
      <c r="F43" s="185">
        <v>350</v>
      </c>
      <c r="G43" s="185">
        <v>0</v>
      </c>
      <c r="H43" s="184">
        <f t="shared" si="14"/>
        <v>350</v>
      </c>
      <c r="I43" s="184">
        <f t="shared" si="15"/>
        <v>350</v>
      </c>
      <c r="J43" s="203">
        <f t="shared" si="16"/>
        <v>0</v>
      </c>
      <c r="K43" s="204" t="s">
        <v>82</v>
      </c>
      <c r="L43" s="204" t="s">
        <v>82</v>
      </c>
      <c r="M43" s="205" t="s">
        <v>82</v>
      </c>
      <c r="N43" s="206" t="s">
        <v>83</v>
      </c>
    </row>
    <row r="44" s="167" customFormat="1" ht="28.5" customHeight="1" spans="1:14">
      <c r="A44" s="191" t="s">
        <v>114</v>
      </c>
      <c r="B44" s="182">
        <f t="shared" si="11"/>
        <v>28681</v>
      </c>
      <c r="C44" s="185">
        <v>28681</v>
      </c>
      <c r="D44" s="185">
        <v>0</v>
      </c>
      <c r="E44" s="182">
        <f t="shared" si="12"/>
        <v>28681</v>
      </c>
      <c r="F44" s="185">
        <v>28681</v>
      </c>
      <c r="G44" s="185">
        <v>0</v>
      </c>
      <c r="H44" s="184">
        <f t="shared" si="14"/>
        <v>0</v>
      </c>
      <c r="I44" s="184">
        <f t="shared" si="15"/>
        <v>0</v>
      </c>
      <c r="J44" s="203">
        <f t="shared" si="16"/>
        <v>0</v>
      </c>
      <c r="K44" s="204">
        <v>0</v>
      </c>
      <c r="L44" s="204">
        <v>0</v>
      </c>
      <c r="M44" s="205" t="s">
        <v>82</v>
      </c>
      <c r="N44" s="206" t="s">
        <v>76</v>
      </c>
    </row>
    <row r="45" s="167" customFormat="1" ht="28.5" customHeight="1" spans="1:14">
      <c r="A45" s="191" t="s">
        <v>115</v>
      </c>
      <c r="B45" s="182">
        <f t="shared" si="11"/>
        <v>7342</v>
      </c>
      <c r="C45" s="185">
        <v>7342</v>
      </c>
      <c r="D45" s="185">
        <v>0</v>
      </c>
      <c r="E45" s="182">
        <f t="shared" si="12"/>
        <v>7342</v>
      </c>
      <c r="F45" s="185">
        <v>7342</v>
      </c>
      <c r="G45" s="185">
        <v>0</v>
      </c>
      <c r="H45" s="184">
        <f t="shared" si="14"/>
        <v>0</v>
      </c>
      <c r="I45" s="184">
        <f t="shared" si="15"/>
        <v>0</v>
      </c>
      <c r="J45" s="203">
        <f t="shared" si="16"/>
        <v>0</v>
      </c>
      <c r="K45" s="204">
        <f t="shared" ref="K38:K78" si="17">H45/B45*100</f>
        <v>0</v>
      </c>
      <c r="L45" s="204">
        <f t="shared" ref="L38:L75" si="18">I45/C45*100</f>
        <v>0</v>
      </c>
      <c r="M45" s="205" t="s">
        <v>82</v>
      </c>
      <c r="N45" s="206" t="s">
        <v>83</v>
      </c>
    </row>
    <row r="46" s="167" customFormat="1" ht="28.5" customHeight="1" spans="1:14">
      <c r="A46" s="191" t="s">
        <v>116</v>
      </c>
      <c r="B46" s="182">
        <f t="shared" si="11"/>
        <v>0</v>
      </c>
      <c r="C46" s="185"/>
      <c r="D46" s="185"/>
      <c r="E46" s="182">
        <f t="shared" si="12"/>
        <v>0</v>
      </c>
      <c r="F46" s="185"/>
      <c r="G46" s="185"/>
      <c r="H46" s="184">
        <f t="shared" si="14"/>
        <v>0</v>
      </c>
      <c r="I46" s="184">
        <f t="shared" si="15"/>
        <v>0</v>
      </c>
      <c r="J46" s="203">
        <f t="shared" si="16"/>
        <v>0</v>
      </c>
      <c r="K46" s="204" t="s">
        <v>82</v>
      </c>
      <c r="L46" s="204" t="s">
        <v>82</v>
      </c>
      <c r="M46" s="205" t="s">
        <v>82</v>
      </c>
      <c r="N46" s="206" t="s">
        <v>83</v>
      </c>
    </row>
    <row r="47" s="167" customFormat="1" ht="28.5" customHeight="1" spans="1:14">
      <c r="A47" s="191" t="s">
        <v>117</v>
      </c>
      <c r="B47" s="182">
        <f t="shared" si="11"/>
        <v>3273</v>
      </c>
      <c r="C47" s="185">
        <v>3273</v>
      </c>
      <c r="D47" s="185">
        <f t="shared" ref="D47:G47" si="19">SUM(D48:D55)</f>
        <v>0</v>
      </c>
      <c r="E47" s="185">
        <f t="shared" si="19"/>
        <v>5356.74</v>
      </c>
      <c r="F47" s="185">
        <f t="shared" si="19"/>
        <v>5356.74</v>
      </c>
      <c r="G47" s="185">
        <f t="shared" si="19"/>
        <v>0</v>
      </c>
      <c r="H47" s="184">
        <f t="shared" si="14"/>
        <v>2083.74</v>
      </c>
      <c r="I47" s="184">
        <f t="shared" si="15"/>
        <v>2083.74</v>
      </c>
      <c r="J47" s="203">
        <f t="shared" si="16"/>
        <v>0</v>
      </c>
      <c r="K47" s="204">
        <f t="shared" si="17"/>
        <v>63.6645279560037</v>
      </c>
      <c r="L47" s="204">
        <f t="shared" si="18"/>
        <v>63.6645279560037</v>
      </c>
      <c r="M47" s="205" t="s">
        <v>82</v>
      </c>
      <c r="N47" s="206" t="s">
        <v>83</v>
      </c>
    </row>
    <row r="48" s="167" customFormat="1" ht="28.5" customHeight="1" spans="1:14">
      <c r="A48" s="188" t="s">
        <v>118</v>
      </c>
      <c r="B48" s="182">
        <f t="shared" si="11"/>
        <v>0</v>
      </c>
      <c r="C48" s="185"/>
      <c r="D48" s="185"/>
      <c r="E48" s="182">
        <f t="shared" ref="E48:E57" si="20">F48+G48</f>
        <v>0</v>
      </c>
      <c r="F48" s="185"/>
      <c r="G48" s="185"/>
      <c r="H48" s="184">
        <f t="shared" si="14"/>
        <v>0</v>
      </c>
      <c r="I48" s="184">
        <f t="shared" si="15"/>
        <v>0</v>
      </c>
      <c r="J48" s="203">
        <f t="shared" si="16"/>
        <v>0</v>
      </c>
      <c r="K48" s="204" t="s">
        <v>82</v>
      </c>
      <c r="L48" s="204" t="s">
        <v>82</v>
      </c>
      <c r="M48" s="205" t="s">
        <v>82</v>
      </c>
      <c r="N48" s="206" t="s">
        <v>83</v>
      </c>
    </row>
    <row r="49" s="167" customFormat="1" ht="36" customHeight="1" spans="1:14">
      <c r="A49" s="188" t="s">
        <v>119</v>
      </c>
      <c r="B49" s="182">
        <f t="shared" si="11"/>
        <v>0</v>
      </c>
      <c r="C49" s="185"/>
      <c r="D49" s="185"/>
      <c r="E49" s="182">
        <f t="shared" si="20"/>
        <v>112</v>
      </c>
      <c r="F49" s="185">
        <v>112</v>
      </c>
      <c r="G49" s="185">
        <v>0</v>
      </c>
      <c r="H49" s="184">
        <f t="shared" si="14"/>
        <v>112</v>
      </c>
      <c r="I49" s="184">
        <f t="shared" si="15"/>
        <v>112</v>
      </c>
      <c r="J49" s="203">
        <f t="shared" si="16"/>
        <v>0</v>
      </c>
      <c r="K49" s="204" t="s">
        <v>82</v>
      </c>
      <c r="L49" s="204" t="s">
        <v>82</v>
      </c>
      <c r="M49" s="205" t="s">
        <v>82</v>
      </c>
      <c r="N49" s="206" t="s">
        <v>83</v>
      </c>
    </row>
    <row r="50" s="167" customFormat="1" ht="28.5" customHeight="1" spans="1:14">
      <c r="A50" s="188" t="s">
        <v>120</v>
      </c>
      <c r="B50" s="182">
        <f t="shared" si="11"/>
        <v>0</v>
      </c>
      <c r="C50" s="185"/>
      <c r="D50" s="185"/>
      <c r="E50" s="182">
        <f t="shared" si="20"/>
        <v>35.76</v>
      </c>
      <c r="F50" s="185">
        <v>35.76</v>
      </c>
      <c r="G50" s="185">
        <v>0</v>
      </c>
      <c r="H50" s="184">
        <f t="shared" si="14"/>
        <v>35.76</v>
      </c>
      <c r="I50" s="184">
        <f t="shared" si="15"/>
        <v>35.76</v>
      </c>
      <c r="J50" s="203">
        <f t="shared" si="16"/>
        <v>0</v>
      </c>
      <c r="K50" s="204" t="s">
        <v>82</v>
      </c>
      <c r="L50" s="204" t="s">
        <v>82</v>
      </c>
      <c r="M50" s="205" t="s">
        <v>82</v>
      </c>
      <c r="N50" s="206" t="s">
        <v>83</v>
      </c>
    </row>
    <row r="51" s="167" customFormat="1" ht="28.5" customHeight="1" spans="1:14">
      <c r="A51" s="188" t="s">
        <v>121</v>
      </c>
      <c r="B51" s="182">
        <f t="shared" si="11"/>
        <v>0</v>
      </c>
      <c r="C51" s="185"/>
      <c r="D51" s="185"/>
      <c r="E51" s="182">
        <f t="shared" si="20"/>
        <v>0</v>
      </c>
      <c r="F51" s="185"/>
      <c r="G51" s="185"/>
      <c r="H51" s="184">
        <f t="shared" si="14"/>
        <v>0</v>
      </c>
      <c r="I51" s="184">
        <f t="shared" si="15"/>
        <v>0</v>
      </c>
      <c r="J51" s="203">
        <f t="shared" si="16"/>
        <v>0</v>
      </c>
      <c r="K51" s="204" t="s">
        <v>82</v>
      </c>
      <c r="L51" s="204" t="s">
        <v>82</v>
      </c>
      <c r="M51" s="205" t="s">
        <v>82</v>
      </c>
      <c r="N51" s="206" t="s">
        <v>83</v>
      </c>
    </row>
    <row r="52" s="167" customFormat="1" ht="28.5" customHeight="1" spans="1:14">
      <c r="A52" s="188" t="s">
        <v>122</v>
      </c>
      <c r="B52" s="182">
        <f t="shared" si="11"/>
        <v>2896</v>
      </c>
      <c r="C52" s="185">
        <v>2896</v>
      </c>
      <c r="D52" s="185">
        <v>0</v>
      </c>
      <c r="E52" s="182">
        <f t="shared" si="20"/>
        <v>2896</v>
      </c>
      <c r="F52" s="185">
        <v>2896</v>
      </c>
      <c r="G52" s="185">
        <v>0</v>
      </c>
      <c r="H52" s="184">
        <f t="shared" si="14"/>
        <v>0</v>
      </c>
      <c r="I52" s="184">
        <f t="shared" si="15"/>
        <v>0</v>
      </c>
      <c r="J52" s="203">
        <f t="shared" si="16"/>
        <v>0</v>
      </c>
      <c r="K52" s="204">
        <f t="shared" si="17"/>
        <v>0</v>
      </c>
      <c r="L52" s="204">
        <f t="shared" si="18"/>
        <v>0</v>
      </c>
      <c r="M52" s="205" t="s">
        <v>82</v>
      </c>
      <c r="N52" s="206" t="s">
        <v>83</v>
      </c>
    </row>
    <row r="53" s="167" customFormat="1" ht="28.5" customHeight="1" spans="1:14">
      <c r="A53" s="188" t="s">
        <v>123</v>
      </c>
      <c r="B53" s="182">
        <f t="shared" si="11"/>
        <v>4</v>
      </c>
      <c r="C53" s="185">
        <v>4</v>
      </c>
      <c r="D53" s="185">
        <v>0</v>
      </c>
      <c r="E53" s="182">
        <f t="shared" si="20"/>
        <v>4</v>
      </c>
      <c r="F53" s="185">
        <v>4</v>
      </c>
      <c r="G53" s="185">
        <v>0</v>
      </c>
      <c r="H53" s="184">
        <f t="shared" si="14"/>
        <v>0</v>
      </c>
      <c r="I53" s="184">
        <f t="shared" si="15"/>
        <v>0</v>
      </c>
      <c r="J53" s="203">
        <f t="shared" si="16"/>
        <v>0</v>
      </c>
      <c r="K53" s="204">
        <f t="shared" si="17"/>
        <v>0</v>
      </c>
      <c r="L53" s="204">
        <f t="shared" si="18"/>
        <v>0</v>
      </c>
      <c r="M53" s="205" t="s">
        <v>82</v>
      </c>
      <c r="N53" s="206" t="s">
        <v>83</v>
      </c>
    </row>
    <row r="54" s="167" customFormat="1" ht="28.5" customHeight="1" spans="1:14">
      <c r="A54" s="188" t="s">
        <v>124</v>
      </c>
      <c r="B54" s="182">
        <f t="shared" si="11"/>
        <v>346</v>
      </c>
      <c r="C54" s="185">
        <v>346</v>
      </c>
      <c r="D54" s="185">
        <v>0</v>
      </c>
      <c r="E54" s="182">
        <f t="shared" si="20"/>
        <v>346</v>
      </c>
      <c r="F54" s="185">
        <v>346</v>
      </c>
      <c r="G54" s="185">
        <v>0</v>
      </c>
      <c r="H54" s="184">
        <f t="shared" si="14"/>
        <v>0</v>
      </c>
      <c r="I54" s="184">
        <f t="shared" si="15"/>
        <v>0</v>
      </c>
      <c r="J54" s="203">
        <f t="shared" si="16"/>
        <v>0</v>
      </c>
      <c r="K54" s="204">
        <f t="shared" si="17"/>
        <v>0</v>
      </c>
      <c r="L54" s="204">
        <f t="shared" si="18"/>
        <v>0</v>
      </c>
      <c r="M54" s="205" t="s">
        <v>82</v>
      </c>
      <c r="N54" s="206" t="s">
        <v>83</v>
      </c>
    </row>
    <row r="55" s="167" customFormat="1" ht="28.5" customHeight="1" spans="1:14">
      <c r="A55" s="188" t="s">
        <v>125</v>
      </c>
      <c r="B55" s="182">
        <f t="shared" si="11"/>
        <v>27</v>
      </c>
      <c r="C55" s="185">
        <v>27</v>
      </c>
      <c r="D55" s="185">
        <v>0</v>
      </c>
      <c r="E55" s="182">
        <f t="shared" si="20"/>
        <v>1962.98</v>
      </c>
      <c r="F55" s="185">
        <v>1962.98</v>
      </c>
      <c r="G55" s="185">
        <v>0</v>
      </c>
      <c r="H55" s="184">
        <f t="shared" si="14"/>
        <v>1935.98</v>
      </c>
      <c r="I55" s="184">
        <f t="shared" si="15"/>
        <v>1935.98</v>
      </c>
      <c r="J55" s="203">
        <f t="shared" si="16"/>
        <v>0</v>
      </c>
      <c r="K55" s="204">
        <f t="shared" si="17"/>
        <v>7170.2962962963</v>
      </c>
      <c r="L55" s="204">
        <f t="shared" si="18"/>
        <v>7170.2962962963</v>
      </c>
      <c r="M55" s="205">
        <v>0</v>
      </c>
      <c r="N55" s="206" t="s">
        <v>83</v>
      </c>
    </row>
    <row r="56" s="167" customFormat="1" ht="28.5" customHeight="1" spans="1:14">
      <c r="A56" s="187" t="s">
        <v>126</v>
      </c>
      <c r="B56" s="182">
        <f t="shared" si="11"/>
        <v>31206</v>
      </c>
      <c r="C56" s="185">
        <f t="shared" ref="C56:G56" si="21">C57+C58</f>
        <v>24706</v>
      </c>
      <c r="D56" s="185">
        <f t="shared" si="21"/>
        <v>6500</v>
      </c>
      <c r="E56" s="182">
        <f t="shared" si="20"/>
        <v>23559</v>
      </c>
      <c r="F56" s="185">
        <f t="shared" si="21"/>
        <v>16436</v>
      </c>
      <c r="G56" s="185">
        <f t="shared" si="21"/>
        <v>7123</v>
      </c>
      <c r="H56" s="184">
        <f t="shared" si="14"/>
        <v>-7647</v>
      </c>
      <c r="I56" s="184">
        <f t="shared" si="15"/>
        <v>-8270</v>
      </c>
      <c r="J56" s="203">
        <f t="shared" si="16"/>
        <v>623</v>
      </c>
      <c r="K56" s="204">
        <f t="shared" si="17"/>
        <v>-24.5049029032878</v>
      </c>
      <c r="L56" s="204">
        <f t="shared" si="18"/>
        <v>-33.4736501254756</v>
      </c>
      <c r="M56" s="204">
        <f t="shared" ref="M56:M58" si="22">J56/D56*100</f>
        <v>9.58461538461538</v>
      </c>
      <c r="N56" s="206" t="s">
        <v>83</v>
      </c>
    </row>
    <row r="57" s="167" customFormat="1" ht="28.5" customHeight="1" spans="1:14">
      <c r="A57" s="187" t="s">
        <v>127</v>
      </c>
      <c r="B57" s="182">
        <f t="shared" si="11"/>
        <v>10133</v>
      </c>
      <c r="C57" s="185">
        <f>6619+3514</f>
        <v>10133</v>
      </c>
      <c r="D57" s="185">
        <v>0</v>
      </c>
      <c r="E57" s="182">
        <f t="shared" si="20"/>
        <v>7707</v>
      </c>
      <c r="F57" s="185">
        <v>7707</v>
      </c>
      <c r="G57" s="185">
        <v>0</v>
      </c>
      <c r="H57" s="184">
        <f t="shared" si="14"/>
        <v>-2426</v>
      </c>
      <c r="I57" s="184">
        <f t="shared" si="15"/>
        <v>-2426</v>
      </c>
      <c r="J57" s="203">
        <f t="shared" si="16"/>
        <v>0</v>
      </c>
      <c r="K57" s="204">
        <f t="shared" si="17"/>
        <v>-23.9415770255601</v>
      </c>
      <c r="L57" s="204">
        <f t="shared" si="18"/>
        <v>-23.9415770255601</v>
      </c>
      <c r="M57" s="205" t="s">
        <v>82</v>
      </c>
      <c r="N57" s="206" t="s">
        <v>83</v>
      </c>
    </row>
    <row r="58" s="167" customFormat="1" ht="28.5" customHeight="1" spans="1:14">
      <c r="A58" s="187" t="s">
        <v>128</v>
      </c>
      <c r="B58" s="182">
        <f t="shared" si="11"/>
        <v>21073</v>
      </c>
      <c r="C58" s="182">
        <f t="shared" ref="C58:G58" si="23">SUM(C59:C75)</f>
        <v>14573</v>
      </c>
      <c r="D58" s="182">
        <f t="shared" si="23"/>
        <v>6500</v>
      </c>
      <c r="E58" s="182">
        <f>SUM(E59:E79)</f>
        <v>15852</v>
      </c>
      <c r="F58" s="182">
        <f>SUM(F59:F79)</f>
        <v>8729</v>
      </c>
      <c r="G58" s="182">
        <f>SUM(G59:G79)</f>
        <v>7123</v>
      </c>
      <c r="H58" s="184">
        <f t="shared" si="14"/>
        <v>-5221</v>
      </c>
      <c r="I58" s="184">
        <f t="shared" si="15"/>
        <v>-5844</v>
      </c>
      <c r="J58" s="203">
        <f t="shared" si="16"/>
        <v>623</v>
      </c>
      <c r="K58" s="204">
        <f t="shared" si="17"/>
        <v>-24.7757794333982</v>
      </c>
      <c r="L58" s="204">
        <f t="shared" si="18"/>
        <v>-40.1015576751527</v>
      </c>
      <c r="M58" s="204">
        <f t="shared" si="22"/>
        <v>9.58461538461538</v>
      </c>
      <c r="N58" s="206" t="s">
        <v>83</v>
      </c>
    </row>
    <row r="59" s="167" customFormat="1" ht="28.5" customHeight="1" spans="1:14">
      <c r="A59" s="187" t="s">
        <v>129</v>
      </c>
      <c r="B59" s="182">
        <f t="shared" si="11"/>
        <v>890</v>
      </c>
      <c r="C59" s="185">
        <v>890</v>
      </c>
      <c r="D59" s="185"/>
      <c r="E59" s="182">
        <f t="shared" ref="E59:E71" si="24">F59+G59</f>
        <v>890</v>
      </c>
      <c r="F59" s="185">
        <v>890</v>
      </c>
      <c r="G59" s="185"/>
      <c r="H59" s="184">
        <f t="shared" si="14"/>
        <v>0</v>
      </c>
      <c r="I59" s="184">
        <f t="shared" si="15"/>
        <v>0</v>
      </c>
      <c r="J59" s="203">
        <f t="shared" si="16"/>
        <v>0</v>
      </c>
      <c r="K59" s="204">
        <f t="shared" si="17"/>
        <v>0</v>
      </c>
      <c r="L59" s="204">
        <v>0</v>
      </c>
      <c r="M59" s="205" t="s">
        <v>82</v>
      </c>
      <c r="N59" s="206" t="s">
        <v>83</v>
      </c>
    </row>
    <row r="60" s="167" customFormat="1" ht="28.5" customHeight="1" spans="1:14">
      <c r="A60" s="187" t="s">
        <v>130</v>
      </c>
      <c r="B60" s="182">
        <f t="shared" si="11"/>
        <v>200</v>
      </c>
      <c r="C60" s="185">
        <v>200</v>
      </c>
      <c r="D60" s="185"/>
      <c r="E60" s="182">
        <f t="shared" si="24"/>
        <v>0</v>
      </c>
      <c r="F60" s="185"/>
      <c r="G60" s="185"/>
      <c r="H60" s="184">
        <f t="shared" si="14"/>
        <v>-200</v>
      </c>
      <c r="I60" s="184">
        <f t="shared" si="15"/>
        <v>-200</v>
      </c>
      <c r="J60" s="203">
        <f t="shared" si="16"/>
        <v>0</v>
      </c>
      <c r="K60" s="204">
        <f t="shared" si="17"/>
        <v>-100</v>
      </c>
      <c r="L60" s="204">
        <f t="shared" si="18"/>
        <v>-100</v>
      </c>
      <c r="M60" s="205" t="s">
        <v>82</v>
      </c>
      <c r="N60" s="206"/>
    </row>
    <row r="61" s="167" customFormat="1" ht="28.5" customHeight="1" spans="1:14">
      <c r="A61" s="187" t="s">
        <v>131</v>
      </c>
      <c r="B61" s="182">
        <f t="shared" si="11"/>
        <v>3467</v>
      </c>
      <c r="C61" s="185">
        <v>3467</v>
      </c>
      <c r="D61" s="185"/>
      <c r="E61" s="182">
        <f t="shared" si="24"/>
        <v>0</v>
      </c>
      <c r="F61" s="185"/>
      <c r="G61" s="185"/>
      <c r="H61" s="184">
        <f t="shared" si="14"/>
        <v>-3467</v>
      </c>
      <c r="I61" s="184">
        <f t="shared" si="15"/>
        <v>-3467</v>
      </c>
      <c r="J61" s="203">
        <f t="shared" si="16"/>
        <v>0</v>
      </c>
      <c r="K61" s="204">
        <f t="shared" si="17"/>
        <v>-100</v>
      </c>
      <c r="L61" s="204">
        <f t="shared" si="18"/>
        <v>-100</v>
      </c>
      <c r="M61" s="205" t="s">
        <v>82</v>
      </c>
      <c r="N61" s="206"/>
    </row>
    <row r="62" s="167" customFormat="1" ht="28.5" customHeight="1" spans="1:14">
      <c r="A62" s="192" t="s">
        <v>132</v>
      </c>
      <c r="B62" s="182">
        <f t="shared" si="11"/>
        <v>329</v>
      </c>
      <c r="C62" s="185">
        <v>329</v>
      </c>
      <c r="D62" s="185"/>
      <c r="E62" s="182">
        <f t="shared" si="24"/>
        <v>329</v>
      </c>
      <c r="F62" s="185">
        <v>329</v>
      </c>
      <c r="G62" s="185"/>
      <c r="H62" s="184">
        <f t="shared" si="14"/>
        <v>0</v>
      </c>
      <c r="I62" s="184">
        <f t="shared" si="15"/>
        <v>0</v>
      </c>
      <c r="J62" s="203">
        <f t="shared" si="16"/>
        <v>0</v>
      </c>
      <c r="K62" s="204">
        <f t="shared" si="17"/>
        <v>0</v>
      </c>
      <c r="L62" s="204">
        <f t="shared" si="18"/>
        <v>0</v>
      </c>
      <c r="M62" s="205" t="s">
        <v>82</v>
      </c>
      <c r="N62" s="206"/>
    </row>
    <row r="63" s="167" customFormat="1" ht="28.5" customHeight="1" spans="1:14">
      <c r="A63" s="192" t="s">
        <v>133</v>
      </c>
      <c r="B63" s="182">
        <f t="shared" si="11"/>
        <v>4000</v>
      </c>
      <c r="C63" s="185">
        <v>4000</v>
      </c>
      <c r="D63" s="185"/>
      <c r="E63" s="182">
        <f t="shared" si="24"/>
        <v>0</v>
      </c>
      <c r="F63" s="185"/>
      <c r="G63" s="185"/>
      <c r="H63" s="184">
        <f t="shared" si="14"/>
        <v>-4000</v>
      </c>
      <c r="I63" s="184">
        <f t="shared" si="15"/>
        <v>-4000</v>
      </c>
      <c r="J63" s="203">
        <f t="shared" si="16"/>
        <v>0</v>
      </c>
      <c r="K63" s="204">
        <f t="shared" si="17"/>
        <v>-100</v>
      </c>
      <c r="L63" s="204">
        <f t="shared" si="18"/>
        <v>-100</v>
      </c>
      <c r="M63" s="205" t="s">
        <v>82</v>
      </c>
      <c r="N63" s="206"/>
    </row>
    <row r="64" s="167" customFormat="1" ht="28.5" customHeight="1" spans="1:14">
      <c r="A64" s="192" t="s">
        <v>134</v>
      </c>
      <c r="B64" s="182">
        <f t="shared" si="11"/>
        <v>69</v>
      </c>
      <c r="C64" s="185">
        <v>69</v>
      </c>
      <c r="D64" s="185"/>
      <c r="E64" s="182">
        <f t="shared" si="24"/>
        <v>584</v>
      </c>
      <c r="F64" s="185">
        <v>584</v>
      </c>
      <c r="G64" s="185"/>
      <c r="H64" s="184">
        <f t="shared" si="14"/>
        <v>515</v>
      </c>
      <c r="I64" s="184">
        <f t="shared" si="15"/>
        <v>515</v>
      </c>
      <c r="J64" s="203">
        <f t="shared" si="16"/>
        <v>0</v>
      </c>
      <c r="K64" s="204">
        <v>0</v>
      </c>
      <c r="L64" s="204">
        <v>0</v>
      </c>
      <c r="M64" s="205" t="s">
        <v>82</v>
      </c>
      <c r="N64" s="206"/>
    </row>
    <row r="65" s="167" customFormat="1" ht="42.75" customHeight="1" spans="1:14">
      <c r="A65" s="192" t="s">
        <v>135</v>
      </c>
      <c r="B65" s="182">
        <f t="shared" si="11"/>
        <v>1500</v>
      </c>
      <c r="C65" s="185">
        <v>1500</v>
      </c>
      <c r="D65" s="185"/>
      <c r="E65" s="182">
        <f t="shared" si="24"/>
        <v>0</v>
      </c>
      <c r="F65" s="185"/>
      <c r="G65" s="185"/>
      <c r="H65" s="184">
        <f t="shared" si="14"/>
        <v>-1500</v>
      </c>
      <c r="I65" s="184">
        <f t="shared" si="15"/>
        <v>-1500</v>
      </c>
      <c r="J65" s="203">
        <f t="shared" si="16"/>
        <v>0</v>
      </c>
      <c r="K65" s="204">
        <f t="shared" si="17"/>
        <v>-100</v>
      </c>
      <c r="L65" s="204">
        <f t="shared" si="18"/>
        <v>-100</v>
      </c>
      <c r="M65" s="205" t="s">
        <v>82</v>
      </c>
      <c r="N65" s="206"/>
    </row>
    <row r="66" s="167" customFormat="1" ht="42.75" customHeight="1" spans="1:14">
      <c r="A66" s="192" t="s">
        <v>136</v>
      </c>
      <c r="B66" s="182">
        <f t="shared" si="11"/>
        <v>1200</v>
      </c>
      <c r="C66" s="185">
        <v>1200</v>
      </c>
      <c r="D66" s="185"/>
      <c r="E66" s="182">
        <f t="shared" si="24"/>
        <v>904</v>
      </c>
      <c r="F66" s="185">
        <v>904</v>
      </c>
      <c r="G66" s="185"/>
      <c r="H66" s="184">
        <f t="shared" si="14"/>
        <v>-296</v>
      </c>
      <c r="I66" s="184">
        <f t="shared" si="15"/>
        <v>-296</v>
      </c>
      <c r="J66" s="203">
        <f t="shared" si="16"/>
        <v>0</v>
      </c>
      <c r="K66" s="204">
        <f t="shared" si="17"/>
        <v>-24.6666666666667</v>
      </c>
      <c r="L66" s="204">
        <f t="shared" si="18"/>
        <v>-24.6666666666667</v>
      </c>
      <c r="M66" s="205" t="s">
        <v>82</v>
      </c>
      <c r="N66" s="206"/>
    </row>
    <row r="67" s="167" customFormat="1" ht="42.75" customHeight="1" spans="1:14">
      <c r="A67" s="187" t="s">
        <v>137</v>
      </c>
      <c r="B67" s="182">
        <f t="shared" si="11"/>
        <v>1200</v>
      </c>
      <c r="C67" s="185">
        <v>1200</v>
      </c>
      <c r="D67" s="185"/>
      <c r="E67" s="182">
        <f t="shared" si="24"/>
        <v>1412</v>
      </c>
      <c r="F67" s="185">
        <v>1412</v>
      </c>
      <c r="G67" s="185"/>
      <c r="H67" s="184">
        <f t="shared" si="14"/>
        <v>212</v>
      </c>
      <c r="I67" s="184">
        <f t="shared" si="15"/>
        <v>212</v>
      </c>
      <c r="J67" s="203">
        <f t="shared" si="16"/>
        <v>0</v>
      </c>
      <c r="K67" s="204">
        <f t="shared" si="17"/>
        <v>17.6666666666667</v>
      </c>
      <c r="L67" s="204">
        <f t="shared" si="18"/>
        <v>17.6666666666667</v>
      </c>
      <c r="M67" s="205" t="s">
        <v>82</v>
      </c>
      <c r="N67" s="206"/>
    </row>
    <row r="68" s="167" customFormat="1" ht="42.75" hidden="1" customHeight="1" spans="1:14">
      <c r="A68" s="187" t="s">
        <v>138</v>
      </c>
      <c r="B68" s="182">
        <f t="shared" si="11"/>
        <v>0</v>
      </c>
      <c r="C68" s="185"/>
      <c r="D68" s="185"/>
      <c r="E68" s="182">
        <f t="shared" si="24"/>
        <v>0</v>
      </c>
      <c r="F68" s="185"/>
      <c r="G68" s="185"/>
      <c r="H68" s="184">
        <f t="shared" si="14"/>
        <v>0</v>
      </c>
      <c r="I68" s="184">
        <f t="shared" si="15"/>
        <v>0</v>
      </c>
      <c r="J68" s="203">
        <f t="shared" si="16"/>
        <v>0</v>
      </c>
      <c r="K68" s="204" t="e">
        <f t="shared" si="17"/>
        <v>#DIV/0!</v>
      </c>
      <c r="L68" s="204" t="e">
        <f t="shared" si="18"/>
        <v>#DIV/0!</v>
      </c>
      <c r="M68" s="205" t="s">
        <v>82</v>
      </c>
      <c r="N68" s="206"/>
    </row>
    <row r="69" s="167" customFormat="1" ht="42.75" customHeight="1" spans="1:14">
      <c r="A69" s="187" t="s">
        <v>139</v>
      </c>
      <c r="B69" s="182">
        <f t="shared" si="11"/>
        <v>584</v>
      </c>
      <c r="C69" s="185">
        <v>584</v>
      </c>
      <c r="D69" s="185"/>
      <c r="E69" s="182">
        <f t="shared" si="24"/>
        <v>584</v>
      </c>
      <c r="F69" s="185">
        <v>584</v>
      </c>
      <c r="G69" s="185"/>
      <c r="H69" s="184">
        <f t="shared" si="14"/>
        <v>0</v>
      </c>
      <c r="I69" s="184">
        <f t="shared" si="15"/>
        <v>0</v>
      </c>
      <c r="J69" s="203">
        <f t="shared" si="16"/>
        <v>0</v>
      </c>
      <c r="K69" s="204">
        <f t="shared" si="17"/>
        <v>0</v>
      </c>
      <c r="L69" s="204">
        <f t="shared" si="18"/>
        <v>0</v>
      </c>
      <c r="M69" s="205" t="s">
        <v>82</v>
      </c>
      <c r="N69" s="206"/>
    </row>
    <row r="70" s="167" customFormat="1" ht="44.25" customHeight="1" spans="1:14">
      <c r="A70" s="187" t="s">
        <v>140</v>
      </c>
      <c r="B70" s="182">
        <f t="shared" si="11"/>
        <v>634</v>
      </c>
      <c r="C70" s="185">
        <v>634</v>
      </c>
      <c r="D70" s="185"/>
      <c r="E70" s="182">
        <f t="shared" si="24"/>
        <v>0</v>
      </c>
      <c r="F70" s="185"/>
      <c r="G70" s="185"/>
      <c r="H70" s="184">
        <f t="shared" si="14"/>
        <v>-634</v>
      </c>
      <c r="I70" s="184">
        <f t="shared" si="15"/>
        <v>-634</v>
      </c>
      <c r="J70" s="203">
        <f t="shared" si="16"/>
        <v>0</v>
      </c>
      <c r="K70" s="204">
        <f t="shared" si="17"/>
        <v>-100</v>
      </c>
      <c r="L70" s="204">
        <f t="shared" si="18"/>
        <v>-100</v>
      </c>
      <c r="M70" s="205" t="s">
        <v>82</v>
      </c>
      <c r="N70" s="206"/>
    </row>
    <row r="71" s="167" customFormat="1" ht="49.5" customHeight="1" spans="1:14">
      <c r="A71" s="187" t="s">
        <v>141</v>
      </c>
      <c r="B71" s="182">
        <f t="shared" si="11"/>
        <v>500</v>
      </c>
      <c r="C71" s="185">
        <v>500</v>
      </c>
      <c r="D71" s="185"/>
      <c r="E71" s="182">
        <f t="shared" si="24"/>
        <v>427</v>
      </c>
      <c r="F71" s="185">
        <v>427</v>
      </c>
      <c r="G71" s="185"/>
      <c r="H71" s="184">
        <f t="shared" si="14"/>
        <v>-73</v>
      </c>
      <c r="I71" s="184">
        <f t="shared" si="15"/>
        <v>-73</v>
      </c>
      <c r="J71" s="203">
        <f t="shared" si="16"/>
        <v>0</v>
      </c>
      <c r="K71" s="204" t="s">
        <v>82</v>
      </c>
      <c r="L71" s="204">
        <f t="shared" si="18"/>
        <v>-14.6</v>
      </c>
      <c r="M71" s="205" t="s">
        <v>82</v>
      </c>
      <c r="N71" s="206"/>
    </row>
    <row r="72" s="167" customFormat="1" ht="39" customHeight="1" spans="1:14">
      <c r="A72" s="187" t="s">
        <v>142</v>
      </c>
      <c r="B72" s="182">
        <f t="shared" ref="B72:B75" si="25">C72+D72</f>
        <v>4123</v>
      </c>
      <c r="C72" s="185"/>
      <c r="D72" s="185">
        <v>4123</v>
      </c>
      <c r="E72" s="182">
        <f t="shared" ref="E72:E79" si="26">F72+G72</f>
        <v>3599</v>
      </c>
      <c r="F72" s="185"/>
      <c r="G72" s="185">
        <v>3599</v>
      </c>
      <c r="H72" s="184">
        <f t="shared" si="14"/>
        <v>-524</v>
      </c>
      <c r="I72" s="184">
        <f t="shared" si="15"/>
        <v>0</v>
      </c>
      <c r="J72" s="203">
        <f t="shared" si="16"/>
        <v>-524</v>
      </c>
      <c r="K72" s="204">
        <f>H72/B72*100</f>
        <v>-12.7091923356779</v>
      </c>
      <c r="L72" s="204" t="s">
        <v>82</v>
      </c>
      <c r="M72" s="204">
        <f>J72/D72*100</f>
        <v>-12.7091923356779</v>
      </c>
      <c r="N72" s="206"/>
    </row>
    <row r="73" s="167" customFormat="1" ht="33" customHeight="1" spans="1:14">
      <c r="A73" s="187" t="s">
        <v>143</v>
      </c>
      <c r="B73" s="182">
        <f t="shared" si="25"/>
        <v>374</v>
      </c>
      <c r="C73" s="185"/>
      <c r="D73" s="185">
        <v>374</v>
      </c>
      <c r="E73" s="182">
        <f t="shared" si="26"/>
        <v>1879</v>
      </c>
      <c r="F73" s="185">
        <v>1505</v>
      </c>
      <c r="G73" s="185">
        <v>374</v>
      </c>
      <c r="H73" s="184">
        <f t="shared" si="14"/>
        <v>1505</v>
      </c>
      <c r="I73" s="184">
        <f t="shared" si="15"/>
        <v>1505</v>
      </c>
      <c r="J73" s="203">
        <f t="shared" si="16"/>
        <v>0</v>
      </c>
      <c r="K73" s="204">
        <f t="shared" si="17"/>
        <v>402.406417112299</v>
      </c>
      <c r="L73" s="204" t="s">
        <v>82</v>
      </c>
      <c r="M73" s="204">
        <f>J73/D73*100</f>
        <v>0</v>
      </c>
      <c r="N73" s="206"/>
    </row>
    <row r="74" s="167" customFormat="1" ht="33" hidden="1" customHeight="1" spans="1:14">
      <c r="A74" s="187" t="s">
        <v>144</v>
      </c>
      <c r="B74" s="182">
        <f t="shared" si="25"/>
        <v>0</v>
      </c>
      <c r="C74" s="185"/>
      <c r="D74" s="185"/>
      <c r="E74" s="182">
        <v>0</v>
      </c>
      <c r="F74" s="185"/>
      <c r="G74" s="185"/>
      <c r="H74" s="184">
        <f t="shared" si="14"/>
        <v>0</v>
      </c>
      <c r="I74" s="184">
        <f t="shared" si="15"/>
        <v>0</v>
      </c>
      <c r="J74" s="203">
        <f t="shared" si="16"/>
        <v>0</v>
      </c>
      <c r="K74" s="204" t="e">
        <f t="shared" si="17"/>
        <v>#DIV/0!</v>
      </c>
      <c r="L74" s="204" t="s">
        <v>82</v>
      </c>
      <c r="M74" s="204" t="e">
        <f>J74/D74*100</f>
        <v>#DIV/0!</v>
      </c>
      <c r="N74" s="206"/>
    </row>
    <row r="75" s="167" customFormat="1" ht="33" customHeight="1" spans="1:14">
      <c r="A75" s="207" t="s">
        <v>145</v>
      </c>
      <c r="B75" s="182">
        <f t="shared" si="25"/>
        <v>2003</v>
      </c>
      <c r="C75" s="185"/>
      <c r="D75" s="208">
        <v>2003</v>
      </c>
      <c r="E75" s="182">
        <f t="shared" si="26"/>
        <v>3000</v>
      </c>
      <c r="F75" s="208"/>
      <c r="G75" s="208">
        <v>3000</v>
      </c>
      <c r="H75" s="184">
        <f t="shared" si="14"/>
        <v>997</v>
      </c>
      <c r="I75" s="184">
        <f t="shared" si="15"/>
        <v>0</v>
      </c>
      <c r="J75" s="203">
        <f t="shared" si="16"/>
        <v>997</v>
      </c>
      <c r="K75" s="204">
        <f t="shared" si="17"/>
        <v>49.7753369945082</v>
      </c>
      <c r="L75" s="204" t="s">
        <v>82</v>
      </c>
      <c r="M75" s="204">
        <f>J75/D75*100</f>
        <v>49.7753369945082</v>
      </c>
      <c r="N75" s="206"/>
    </row>
    <row r="76" s="167" customFormat="1" ht="38" customHeight="1" spans="1:14">
      <c r="A76" s="207" t="s">
        <v>146</v>
      </c>
      <c r="B76" s="182">
        <v>0</v>
      </c>
      <c r="C76" s="185"/>
      <c r="D76" s="208"/>
      <c r="E76" s="182">
        <f t="shared" si="26"/>
        <v>70</v>
      </c>
      <c r="F76" s="208">
        <v>70</v>
      </c>
      <c r="G76" s="208"/>
      <c r="H76" s="184">
        <f t="shared" si="14"/>
        <v>70</v>
      </c>
      <c r="I76" s="184">
        <f t="shared" si="15"/>
        <v>70</v>
      </c>
      <c r="J76" s="203">
        <f t="shared" si="16"/>
        <v>0</v>
      </c>
      <c r="K76" s="204" t="s">
        <v>82</v>
      </c>
      <c r="L76" s="204" t="s">
        <v>82</v>
      </c>
      <c r="M76" s="205" t="s">
        <v>82</v>
      </c>
      <c r="N76" s="206"/>
    </row>
    <row r="77" s="169" customFormat="1" ht="33" customHeight="1" spans="1:14">
      <c r="A77" s="207" t="s">
        <v>147</v>
      </c>
      <c r="B77" s="182">
        <v>0</v>
      </c>
      <c r="C77" s="185"/>
      <c r="D77" s="208"/>
      <c r="E77" s="182">
        <f t="shared" si="26"/>
        <v>238</v>
      </c>
      <c r="F77" s="208">
        <v>238</v>
      </c>
      <c r="G77" s="208"/>
      <c r="H77" s="184">
        <f t="shared" si="14"/>
        <v>238</v>
      </c>
      <c r="I77" s="184">
        <f t="shared" si="15"/>
        <v>238</v>
      </c>
      <c r="J77" s="203">
        <f t="shared" si="16"/>
        <v>0</v>
      </c>
      <c r="K77" s="204" t="s">
        <v>82</v>
      </c>
      <c r="L77" s="204" t="s">
        <v>82</v>
      </c>
      <c r="M77" s="205" t="s">
        <v>82</v>
      </c>
      <c r="N77" s="209"/>
    </row>
    <row r="78" s="167" customFormat="1" ht="28.5" customHeight="1" spans="1:14">
      <c r="A78" s="207" t="s">
        <v>148</v>
      </c>
      <c r="B78" s="182">
        <v>0</v>
      </c>
      <c r="C78" s="185"/>
      <c r="D78" s="208"/>
      <c r="E78" s="182">
        <f t="shared" si="26"/>
        <v>1586</v>
      </c>
      <c r="F78" s="208">
        <v>1586</v>
      </c>
      <c r="G78" s="208"/>
      <c r="H78" s="184">
        <f t="shared" si="14"/>
        <v>1586</v>
      </c>
      <c r="I78" s="184">
        <f t="shared" si="15"/>
        <v>1586</v>
      </c>
      <c r="J78" s="203">
        <f t="shared" si="16"/>
        <v>0</v>
      </c>
      <c r="K78" s="204" t="s">
        <v>82</v>
      </c>
      <c r="L78" s="204" t="s">
        <v>82</v>
      </c>
      <c r="M78" s="205" t="s">
        <v>82</v>
      </c>
      <c r="N78" s="206"/>
    </row>
    <row r="79" s="167" customFormat="1" ht="28.5" customHeight="1" spans="1:14">
      <c r="A79" s="207" t="s">
        <v>149</v>
      </c>
      <c r="B79" s="182">
        <v>0</v>
      </c>
      <c r="C79" s="185"/>
      <c r="D79" s="208"/>
      <c r="E79" s="182">
        <f t="shared" si="26"/>
        <v>350</v>
      </c>
      <c r="F79" s="208">
        <v>200</v>
      </c>
      <c r="G79" s="208">
        <v>150</v>
      </c>
      <c r="H79" s="184">
        <f t="shared" si="14"/>
        <v>350</v>
      </c>
      <c r="I79" s="184">
        <f t="shared" si="15"/>
        <v>200</v>
      </c>
      <c r="J79" s="203">
        <f t="shared" si="16"/>
        <v>150</v>
      </c>
      <c r="K79" s="204" t="s">
        <v>82</v>
      </c>
      <c r="L79" s="204" t="s">
        <v>82</v>
      </c>
      <c r="M79" s="205" t="s">
        <v>82</v>
      </c>
      <c r="N79" s="206"/>
    </row>
    <row r="80" s="167" customFormat="1" ht="28.5" customHeight="1" spans="1:14">
      <c r="A80" s="207" t="s">
        <v>150</v>
      </c>
      <c r="B80" s="182">
        <f t="shared" ref="B80:B84" si="27">C80+D80</f>
        <v>30858</v>
      </c>
      <c r="C80" s="185">
        <v>30858</v>
      </c>
      <c r="D80" s="208"/>
      <c r="E80" s="182">
        <f t="shared" ref="E80:E84" si="28">F80+G80</f>
        <v>30858</v>
      </c>
      <c r="F80" s="208">
        <v>30858</v>
      </c>
      <c r="G80" s="208"/>
      <c r="H80" s="184">
        <f t="shared" si="14"/>
        <v>0</v>
      </c>
      <c r="I80" s="184">
        <f t="shared" si="15"/>
        <v>0</v>
      </c>
      <c r="J80" s="203">
        <f t="shared" si="16"/>
        <v>0</v>
      </c>
      <c r="K80" s="204">
        <f t="shared" ref="K79:K85" si="29">H80/B80*100</f>
        <v>0</v>
      </c>
      <c r="L80" s="204">
        <f t="shared" ref="L79:L85" si="30">I80/C80*100</f>
        <v>0</v>
      </c>
      <c r="M80" s="205" t="s">
        <v>82</v>
      </c>
      <c r="N80" s="206"/>
    </row>
    <row r="81" s="167" customFormat="1" ht="28.5" customHeight="1" spans="1:14">
      <c r="A81" s="207" t="s">
        <v>151</v>
      </c>
      <c r="B81" s="182">
        <f t="shared" si="27"/>
        <v>1805</v>
      </c>
      <c r="C81" s="185">
        <v>1805</v>
      </c>
      <c r="D81" s="208"/>
      <c r="E81" s="182">
        <f t="shared" si="28"/>
        <v>1800</v>
      </c>
      <c r="F81" s="208">
        <v>1800</v>
      </c>
      <c r="G81" s="208"/>
      <c r="H81" s="184">
        <f t="shared" si="14"/>
        <v>-5</v>
      </c>
      <c r="I81" s="184">
        <f t="shared" si="15"/>
        <v>-5</v>
      </c>
      <c r="J81" s="203">
        <f t="shared" si="16"/>
        <v>0</v>
      </c>
      <c r="K81" s="204">
        <f t="shared" si="29"/>
        <v>-0.277008310249307</v>
      </c>
      <c r="L81" s="204">
        <f t="shared" si="30"/>
        <v>-0.277008310249307</v>
      </c>
      <c r="M81" s="205" t="s">
        <v>82</v>
      </c>
      <c r="N81" s="206"/>
    </row>
    <row r="82" ht="27" spans="1:14">
      <c r="A82" s="187" t="s">
        <v>152</v>
      </c>
      <c r="B82" s="182">
        <f t="shared" si="27"/>
        <v>69</v>
      </c>
      <c r="C82" s="185">
        <v>69</v>
      </c>
      <c r="D82" s="185">
        <v>0</v>
      </c>
      <c r="E82" s="182">
        <f t="shared" si="28"/>
        <v>48</v>
      </c>
      <c r="F82" s="182">
        <v>48</v>
      </c>
      <c r="G82" s="185"/>
      <c r="H82" s="184">
        <f t="shared" si="14"/>
        <v>-21</v>
      </c>
      <c r="I82" s="184">
        <f t="shared" si="15"/>
        <v>-21</v>
      </c>
      <c r="J82" s="203">
        <f t="shared" si="16"/>
        <v>0</v>
      </c>
      <c r="K82" s="204">
        <f t="shared" si="29"/>
        <v>-30.4347826086957</v>
      </c>
      <c r="L82" s="204">
        <f t="shared" si="30"/>
        <v>-30.4347826086957</v>
      </c>
      <c r="M82" s="205" t="s">
        <v>82</v>
      </c>
      <c r="N82" s="206"/>
    </row>
    <row r="83" ht="27" spans="1:14">
      <c r="A83" s="187" t="s">
        <v>153</v>
      </c>
      <c r="B83" s="182">
        <f t="shared" si="27"/>
        <v>0</v>
      </c>
      <c r="C83" s="185"/>
      <c r="D83" s="185"/>
      <c r="E83" s="182">
        <f t="shared" si="28"/>
        <v>160000</v>
      </c>
      <c r="F83" s="185">
        <v>160000</v>
      </c>
      <c r="G83" s="185"/>
      <c r="H83" s="184">
        <f t="shared" si="14"/>
        <v>160000</v>
      </c>
      <c r="I83" s="184">
        <f t="shared" si="15"/>
        <v>160000</v>
      </c>
      <c r="J83" s="203">
        <f t="shared" si="16"/>
        <v>0</v>
      </c>
      <c r="K83" s="204" t="s">
        <v>82</v>
      </c>
      <c r="L83" s="204" t="s">
        <v>82</v>
      </c>
      <c r="M83" s="205" t="s">
        <v>82</v>
      </c>
      <c r="N83" s="206"/>
    </row>
    <row r="84" ht="27" spans="1:14">
      <c r="A84" s="187" t="s">
        <v>154</v>
      </c>
      <c r="B84" s="182">
        <f t="shared" si="27"/>
        <v>0</v>
      </c>
      <c r="C84" s="185"/>
      <c r="D84" s="185"/>
      <c r="E84" s="182">
        <f t="shared" si="28"/>
        <v>51630</v>
      </c>
      <c r="F84" s="185">
        <v>51630</v>
      </c>
      <c r="G84" s="185"/>
      <c r="H84" s="184">
        <f t="shared" si="14"/>
        <v>51630</v>
      </c>
      <c r="I84" s="184">
        <f t="shared" si="15"/>
        <v>51630</v>
      </c>
      <c r="J84" s="203">
        <f t="shared" si="16"/>
        <v>0</v>
      </c>
      <c r="K84" s="204" t="s">
        <v>82</v>
      </c>
      <c r="L84" s="204" t="s">
        <v>82</v>
      </c>
      <c r="M84" s="205" t="s">
        <v>82</v>
      </c>
      <c r="N84" s="206"/>
    </row>
    <row r="85" ht="27" customHeight="1" spans="1:14">
      <c r="A85" s="187" t="s">
        <v>155</v>
      </c>
      <c r="B85" s="185">
        <f t="shared" ref="B85:G85" si="31">B5+B6-B56+B82+B84+B83-B80-B81</f>
        <v>1076536.8</v>
      </c>
      <c r="C85" s="185">
        <f t="shared" si="31"/>
        <v>857216.8</v>
      </c>
      <c r="D85" s="185">
        <f t="shared" si="31"/>
        <v>219320</v>
      </c>
      <c r="E85" s="185">
        <f t="shared" si="31"/>
        <v>1216014.2544405</v>
      </c>
      <c r="F85" s="185">
        <f t="shared" si="31"/>
        <v>949264.2544405</v>
      </c>
      <c r="G85" s="185">
        <f t="shared" si="31"/>
        <v>266750</v>
      </c>
      <c r="H85" s="184">
        <f t="shared" si="14"/>
        <v>139477.4544405</v>
      </c>
      <c r="I85" s="184">
        <f t="shared" si="15"/>
        <v>92047.4544404999</v>
      </c>
      <c r="J85" s="203">
        <f t="shared" si="16"/>
        <v>47430</v>
      </c>
      <c r="K85" s="204">
        <f t="shared" si="29"/>
        <v>12.9561250893142</v>
      </c>
      <c r="L85" s="204">
        <f t="shared" si="30"/>
        <v>10.7379433581446</v>
      </c>
      <c r="M85" s="205">
        <f>J85/D85*100</f>
        <v>21.625934707277</v>
      </c>
      <c r="N85" s="206"/>
    </row>
  </sheetData>
  <mergeCells count="10">
    <mergeCell ref="A1:N1"/>
    <mergeCell ref="A2:B2"/>
    <mergeCell ref="E2:I2"/>
    <mergeCell ref="M2:N2"/>
    <mergeCell ref="B3:D3"/>
    <mergeCell ref="E3:G3"/>
    <mergeCell ref="H3:J3"/>
    <mergeCell ref="K3:M3"/>
    <mergeCell ref="A3:A4"/>
    <mergeCell ref="N3:N4"/>
  </mergeCells>
  <pageMargins left="0.708333333333333" right="0.708333333333333" top="0.747916666666667" bottom="0.747916666666667" header="0.314583333333333" footer="0.314583333333333"/>
  <pageSetup paperSize="9" scale="75" firstPageNumber="11" fitToHeight="0" orientation="landscape" useFirstPageNumber="1" horizontalDpi="600"/>
  <headerFooter>
    <oddFooter>&amp;C&amp;P</oddFooter>
  </headerFooter>
  <rowBreaks count="1" manualBreakCount="1">
    <brk id="8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L178"/>
  <sheetViews>
    <sheetView view="pageBreakPreview" zoomScaleNormal="100" workbookViewId="0">
      <pane xSplit="1" ySplit="8" topLeftCell="B9" activePane="bottomRight" state="frozen"/>
      <selection/>
      <selection pane="topRight"/>
      <selection pane="bottomLeft"/>
      <selection pane="bottomRight" activeCell="D164" sqref="D164"/>
    </sheetView>
  </sheetViews>
  <sheetFormatPr defaultColWidth="9" defaultRowHeight="13.5"/>
  <cols>
    <col min="1" max="1" width="5.625" style="75" customWidth="1"/>
    <col min="2" max="2" width="64.75" style="76" customWidth="1"/>
    <col min="3" max="3" width="13.875" style="135" customWidth="1"/>
    <col min="4" max="5" width="13.5" style="135" customWidth="1"/>
    <col min="6" max="6" width="15.5" style="135" customWidth="1"/>
    <col min="7" max="7" width="14.875" style="135" customWidth="1"/>
    <col min="8" max="8" width="16" style="135" customWidth="1"/>
    <col min="9" max="9" width="18.625" style="71" customWidth="1"/>
    <col min="10" max="10" width="12.875" style="71"/>
    <col min="11" max="11" width="10.5" style="71" customWidth="1"/>
    <col min="12" max="12" width="11.625" style="71"/>
    <col min="13" max="16384" width="9" style="71"/>
  </cols>
  <sheetData>
    <row r="1" ht="27" spans="1:9">
      <c r="A1" s="78" t="s">
        <v>156</v>
      </c>
      <c r="B1" s="78"/>
      <c r="C1" s="136"/>
      <c r="D1" s="136"/>
      <c r="E1" s="136"/>
      <c r="F1" s="136"/>
      <c r="G1" s="136"/>
      <c r="H1" s="136"/>
      <c r="I1" s="78"/>
    </row>
    <row r="2" ht="14.25" spans="1:9">
      <c r="A2" s="137" t="s">
        <v>1</v>
      </c>
      <c r="B2" s="137"/>
      <c r="C2" s="138" t="s">
        <v>2</v>
      </c>
      <c r="D2" s="138"/>
      <c r="E2" s="138"/>
      <c r="F2" s="138"/>
      <c r="G2" s="138"/>
      <c r="I2" s="97" t="s">
        <v>3</v>
      </c>
    </row>
    <row r="3" s="67" customFormat="1" ht="25" customHeight="1" spans="1:9">
      <c r="A3" s="82" t="s">
        <v>157</v>
      </c>
      <c r="B3" s="83" t="s">
        <v>158</v>
      </c>
      <c r="C3" s="139" t="s">
        <v>159</v>
      </c>
      <c r="D3" s="140" t="s">
        <v>160</v>
      </c>
      <c r="E3" s="141"/>
      <c r="F3" s="142"/>
      <c r="G3" s="139" t="s">
        <v>161</v>
      </c>
      <c r="H3" s="139" t="s">
        <v>162</v>
      </c>
      <c r="I3" s="98" t="s">
        <v>163</v>
      </c>
    </row>
    <row r="4" s="67" customFormat="1" ht="18" customHeight="1" spans="1:9">
      <c r="A4" s="82"/>
      <c r="B4" s="83"/>
      <c r="C4" s="143"/>
      <c r="D4" s="139" t="s">
        <v>9</v>
      </c>
      <c r="E4" s="139" t="s">
        <v>164</v>
      </c>
      <c r="F4" s="139" t="s">
        <v>165</v>
      </c>
      <c r="G4" s="143"/>
      <c r="H4" s="143"/>
      <c r="I4" s="99"/>
    </row>
    <row r="5" s="67" customFormat="1" ht="18" customHeight="1" spans="1:9">
      <c r="A5" s="82"/>
      <c r="B5" s="83"/>
      <c r="C5" s="144"/>
      <c r="D5" s="144"/>
      <c r="E5" s="144"/>
      <c r="F5" s="144"/>
      <c r="G5" s="144"/>
      <c r="H5" s="144"/>
      <c r="I5" s="100"/>
    </row>
    <row r="6" s="68" customFormat="1" ht="14.25" spans="1:9">
      <c r="A6" s="90"/>
      <c r="B6" s="83" t="s">
        <v>166</v>
      </c>
      <c r="C6" s="145">
        <f t="shared" ref="C6:H6" si="0">C7+C81</f>
        <v>439017.66974</v>
      </c>
      <c r="D6" s="145">
        <f t="shared" si="0"/>
        <v>568506.327958</v>
      </c>
      <c r="E6" s="145">
        <f t="shared" si="0"/>
        <v>534381.558778</v>
      </c>
      <c r="F6" s="145">
        <f t="shared" si="0"/>
        <v>34124.76918</v>
      </c>
      <c r="G6" s="145">
        <f t="shared" si="0"/>
        <v>-129488.658218</v>
      </c>
      <c r="H6" s="145">
        <f t="shared" si="0"/>
        <v>129488.658218</v>
      </c>
      <c r="I6" s="101"/>
    </row>
    <row r="7" s="69" customFormat="1" ht="14.25" spans="1:10">
      <c r="A7" s="90" t="s">
        <v>167</v>
      </c>
      <c r="B7" s="92" t="s">
        <v>168</v>
      </c>
      <c r="C7" s="145">
        <f>C8+C71</f>
        <v>430017.66974</v>
      </c>
      <c r="D7" s="145">
        <f>D8+D71</f>
        <v>129736.643242</v>
      </c>
      <c r="E7" s="145">
        <f t="shared" ref="C7:H7" si="1">E8+E71</f>
        <v>128433.643242</v>
      </c>
      <c r="F7" s="145">
        <f t="shared" si="1"/>
        <v>1303</v>
      </c>
      <c r="G7" s="145">
        <f t="shared" si="1"/>
        <v>300281.026498</v>
      </c>
      <c r="H7" s="145">
        <f t="shared" si="1"/>
        <v>-300281.026498</v>
      </c>
      <c r="I7" s="102"/>
      <c r="J7" s="69">
        <f>H7+H81</f>
        <v>129488.658218</v>
      </c>
    </row>
    <row r="8" s="70" customFormat="1" ht="14.25" spans="1:10">
      <c r="A8" s="90"/>
      <c r="B8" s="93" t="s">
        <v>169</v>
      </c>
      <c r="C8" s="145">
        <f t="shared" ref="C8:H8" si="2">SUM(C9:C70)</f>
        <v>356004.45192</v>
      </c>
      <c r="D8" s="145">
        <f t="shared" si="2"/>
        <v>112002.581108</v>
      </c>
      <c r="E8" s="145">
        <f t="shared" si="2"/>
        <v>112002.581108</v>
      </c>
      <c r="F8" s="145">
        <f t="shared" si="2"/>
        <v>0</v>
      </c>
      <c r="G8" s="145">
        <f t="shared" si="2"/>
        <v>244001.870812</v>
      </c>
      <c r="H8" s="145">
        <f t="shared" si="2"/>
        <v>-244001.870812</v>
      </c>
      <c r="I8" s="102"/>
      <c r="J8" s="69">
        <f>H8+H82</f>
        <v>82058.192534</v>
      </c>
    </row>
    <row r="9" s="71" customFormat="1" ht="14.25" spans="1:9">
      <c r="A9" s="94">
        <v>1</v>
      </c>
      <c r="B9" s="146" t="s">
        <v>170</v>
      </c>
      <c r="C9" s="147">
        <v>4249.48</v>
      </c>
      <c r="D9" s="147">
        <f t="shared" ref="D9:D23" si="3">E9+F9</f>
        <v>3607.2969</v>
      </c>
      <c r="E9" s="147">
        <v>3607.2969</v>
      </c>
      <c r="F9" s="147"/>
      <c r="G9" s="147">
        <f t="shared" ref="G9:G23" si="4">C9-D9</f>
        <v>642.1831</v>
      </c>
      <c r="H9" s="148">
        <f t="shared" ref="H9:H23" si="5">-G9</f>
        <v>-642.1831</v>
      </c>
      <c r="I9" s="103"/>
    </row>
    <row r="10" s="71" customFormat="1" ht="14.25" spans="1:9">
      <c r="A10" s="94">
        <v>2</v>
      </c>
      <c r="B10" s="146" t="s">
        <v>171</v>
      </c>
      <c r="C10" s="147">
        <v>2000</v>
      </c>
      <c r="D10" s="147">
        <f t="shared" si="3"/>
        <v>1657.74934</v>
      </c>
      <c r="E10" s="147">
        <v>1657.74934</v>
      </c>
      <c r="F10" s="147"/>
      <c r="G10" s="147">
        <f t="shared" si="4"/>
        <v>342.25066</v>
      </c>
      <c r="H10" s="148">
        <f t="shared" si="5"/>
        <v>-342.25066</v>
      </c>
      <c r="I10" s="103"/>
    </row>
    <row r="11" s="71" customFormat="1" ht="14.25" spans="1:9">
      <c r="A11" s="94">
        <v>3</v>
      </c>
      <c r="B11" s="146" t="s">
        <v>172</v>
      </c>
      <c r="C11" s="147">
        <v>12000</v>
      </c>
      <c r="D11" s="147">
        <f t="shared" si="3"/>
        <v>1300</v>
      </c>
      <c r="E11" s="147">
        <v>1300</v>
      </c>
      <c r="F11" s="147"/>
      <c r="G11" s="147">
        <f t="shared" si="4"/>
        <v>10700</v>
      </c>
      <c r="H11" s="148">
        <f t="shared" si="5"/>
        <v>-10700</v>
      </c>
      <c r="I11" s="103"/>
    </row>
    <row r="12" s="71" customFormat="1" ht="14.25" spans="1:9">
      <c r="A12" s="94">
        <v>4</v>
      </c>
      <c r="B12" s="146" t="s">
        <v>173</v>
      </c>
      <c r="C12" s="147">
        <v>1000</v>
      </c>
      <c r="D12" s="147">
        <f t="shared" si="3"/>
        <v>453.722695</v>
      </c>
      <c r="E12" s="147">
        <v>453.722695</v>
      </c>
      <c r="F12" s="147"/>
      <c r="G12" s="147">
        <f t="shared" si="4"/>
        <v>546.277305</v>
      </c>
      <c r="H12" s="148">
        <f t="shared" si="5"/>
        <v>-546.277305</v>
      </c>
      <c r="I12" s="103"/>
    </row>
    <row r="13" s="71" customFormat="1" ht="14.25" spans="1:9">
      <c r="A13" s="94">
        <v>5</v>
      </c>
      <c r="B13" s="146" t="s">
        <v>174</v>
      </c>
      <c r="C13" s="147">
        <v>5513</v>
      </c>
      <c r="D13" s="147">
        <f t="shared" si="3"/>
        <v>195.2937</v>
      </c>
      <c r="E13" s="147">
        <v>195.2937</v>
      </c>
      <c r="F13" s="147"/>
      <c r="G13" s="147">
        <f t="shared" si="4"/>
        <v>5317.7063</v>
      </c>
      <c r="H13" s="148">
        <f t="shared" si="5"/>
        <v>-5317.7063</v>
      </c>
      <c r="I13" s="103"/>
    </row>
    <row r="14" s="71" customFormat="1" ht="14.25" spans="1:9">
      <c r="A14" s="94">
        <v>6</v>
      </c>
      <c r="B14" s="146" t="s">
        <v>175</v>
      </c>
      <c r="C14" s="147">
        <v>1860.6139</v>
      </c>
      <c r="D14" s="147">
        <f t="shared" si="3"/>
        <v>374.773498</v>
      </c>
      <c r="E14" s="147">
        <v>374.773498</v>
      </c>
      <c r="F14" s="147"/>
      <c r="G14" s="147">
        <f t="shared" si="4"/>
        <v>1485.840402</v>
      </c>
      <c r="H14" s="148">
        <f t="shared" si="5"/>
        <v>-1485.840402</v>
      </c>
      <c r="I14" s="103"/>
    </row>
    <row r="15" s="132" customFormat="1" ht="14.25" spans="1:9">
      <c r="A15" s="94">
        <v>7</v>
      </c>
      <c r="B15" s="146" t="s">
        <v>176</v>
      </c>
      <c r="C15" s="147">
        <v>1000</v>
      </c>
      <c r="D15" s="147">
        <f t="shared" si="3"/>
        <v>101.09248</v>
      </c>
      <c r="E15" s="147">
        <v>101.09248</v>
      </c>
      <c r="F15" s="147"/>
      <c r="G15" s="147">
        <f t="shared" si="4"/>
        <v>898.90752</v>
      </c>
      <c r="H15" s="148">
        <f t="shared" si="5"/>
        <v>-898.90752</v>
      </c>
      <c r="I15" s="103"/>
    </row>
    <row r="16" s="132" customFormat="1" ht="14.25" spans="1:9">
      <c r="A16" s="94">
        <v>8</v>
      </c>
      <c r="B16" s="146" t="s">
        <v>177</v>
      </c>
      <c r="C16" s="147">
        <v>1500</v>
      </c>
      <c r="D16" s="147">
        <f t="shared" si="3"/>
        <v>124.6514</v>
      </c>
      <c r="E16" s="147">
        <v>124.6514</v>
      </c>
      <c r="F16" s="147"/>
      <c r="G16" s="147">
        <f t="shared" si="4"/>
        <v>1375.3486</v>
      </c>
      <c r="H16" s="148">
        <f t="shared" si="5"/>
        <v>-1375.3486</v>
      </c>
      <c r="I16" s="103"/>
    </row>
    <row r="17" s="132" customFormat="1" ht="14.25" spans="1:9">
      <c r="A17" s="94">
        <v>9</v>
      </c>
      <c r="B17" s="146" t="s">
        <v>178</v>
      </c>
      <c r="C17" s="147">
        <v>5996.76</v>
      </c>
      <c r="D17" s="147">
        <f t="shared" si="3"/>
        <v>371.275</v>
      </c>
      <c r="E17" s="147">
        <v>371.275</v>
      </c>
      <c r="F17" s="147"/>
      <c r="G17" s="147">
        <f t="shared" si="4"/>
        <v>5625.485</v>
      </c>
      <c r="H17" s="148">
        <f t="shared" si="5"/>
        <v>-5625.485</v>
      </c>
      <c r="I17" s="103"/>
    </row>
    <row r="18" s="132" customFormat="1" ht="14.25" spans="1:9">
      <c r="A18" s="94">
        <v>10</v>
      </c>
      <c r="B18" s="146" t="s">
        <v>179</v>
      </c>
      <c r="C18" s="147">
        <v>5548.66</v>
      </c>
      <c r="D18" s="147">
        <f t="shared" si="3"/>
        <v>210.9067</v>
      </c>
      <c r="E18" s="147">
        <v>210.9067</v>
      </c>
      <c r="F18" s="147"/>
      <c r="G18" s="147">
        <f t="shared" si="4"/>
        <v>5337.7533</v>
      </c>
      <c r="H18" s="148">
        <f t="shared" si="5"/>
        <v>-5337.7533</v>
      </c>
      <c r="I18" s="103"/>
    </row>
    <row r="19" s="132" customFormat="1" ht="14.25" spans="1:9">
      <c r="A19" s="94">
        <v>11</v>
      </c>
      <c r="B19" s="146" t="s">
        <v>180</v>
      </c>
      <c r="C19" s="147">
        <v>2229.97</v>
      </c>
      <c r="D19" s="147">
        <f t="shared" si="3"/>
        <v>1601.99</v>
      </c>
      <c r="E19" s="147">
        <v>1601.99</v>
      </c>
      <c r="F19" s="147"/>
      <c r="G19" s="147">
        <f t="shared" si="4"/>
        <v>627.98</v>
      </c>
      <c r="H19" s="148">
        <f t="shared" si="5"/>
        <v>-627.98</v>
      </c>
      <c r="I19" s="103"/>
    </row>
    <row r="20" s="132" customFormat="1" ht="14.25" spans="1:9">
      <c r="A20" s="94">
        <v>12</v>
      </c>
      <c r="B20" s="146" t="s">
        <v>181</v>
      </c>
      <c r="C20" s="147">
        <v>10979</v>
      </c>
      <c r="D20" s="147">
        <f t="shared" si="3"/>
        <v>4540.180582</v>
      </c>
      <c r="E20" s="147">
        <v>4540.180582</v>
      </c>
      <c r="F20" s="147"/>
      <c r="G20" s="147">
        <f t="shared" si="4"/>
        <v>6438.819418</v>
      </c>
      <c r="H20" s="148">
        <f t="shared" si="5"/>
        <v>-6438.819418</v>
      </c>
      <c r="I20" s="103"/>
    </row>
    <row r="21" s="132" customFormat="1" ht="14.25" spans="1:9">
      <c r="A21" s="94">
        <v>13</v>
      </c>
      <c r="B21" s="146" t="s">
        <v>181</v>
      </c>
      <c r="C21" s="147">
        <v>10000</v>
      </c>
      <c r="D21" s="147">
        <f t="shared" si="3"/>
        <v>4540.180582</v>
      </c>
      <c r="E21" s="147">
        <v>4540.180582</v>
      </c>
      <c r="F21" s="147"/>
      <c r="G21" s="147">
        <f t="shared" si="4"/>
        <v>5459.819418</v>
      </c>
      <c r="H21" s="148">
        <f t="shared" si="5"/>
        <v>-5459.819418</v>
      </c>
      <c r="I21" s="103"/>
    </row>
    <row r="22" s="132" customFormat="1" ht="14.25" spans="1:9">
      <c r="A22" s="94">
        <v>14</v>
      </c>
      <c r="B22" s="146" t="s">
        <v>182</v>
      </c>
      <c r="C22" s="147">
        <v>7599.43</v>
      </c>
      <c r="D22" s="147">
        <f t="shared" si="3"/>
        <v>1678.259426</v>
      </c>
      <c r="E22" s="147">
        <v>1678.259426</v>
      </c>
      <c r="F22" s="147"/>
      <c r="G22" s="147">
        <f t="shared" si="4"/>
        <v>5921.170574</v>
      </c>
      <c r="H22" s="148">
        <f t="shared" si="5"/>
        <v>-5921.170574</v>
      </c>
      <c r="I22" s="103"/>
    </row>
    <row r="23" s="132" customFormat="1" ht="14.25" spans="1:9">
      <c r="A23" s="94">
        <v>15</v>
      </c>
      <c r="B23" s="146" t="s">
        <v>183</v>
      </c>
      <c r="C23" s="147">
        <v>1036</v>
      </c>
      <c r="D23" s="147">
        <f t="shared" si="3"/>
        <v>158.8058</v>
      </c>
      <c r="E23" s="147">
        <v>158.8058</v>
      </c>
      <c r="F23" s="147"/>
      <c r="G23" s="147">
        <f t="shared" si="4"/>
        <v>877.1942</v>
      </c>
      <c r="H23" s="148">
        <f t="shared" si="5"/>
        <v>-877.1942</v>
      </c>
      <c r="I23" s="103"/>
    </row>
    <row r="24" s="132" customFormat="1" ht="14.25" spans="1:9">
      <c r="A24" s="94">
        <v>16</v>
      </c>
      <c r="B24" s="146" t="s">
        <v>184</v>
      </c>
      <c r="C24" s="147">
        <v>1530</v>
      </c>
      <c r="D24" s="147">
        <f t="shared" ref="D24:D50" si="6">E24+F24</f>
        <v>1250</v>
      </c>
      <c r="E24" s="147">
        <v>1250</v>
      </c>
      <c r="F24" s="147"/>
      <c r="G24" s="147">
        <f t="shared" ref="G24:G50" si="7">C24-D24</f>
        <v>280</v>
      </c>
      <c r="H24" s="148">
        <f t="shared" ref="H24:H50" si="8">-G24</f>
        <v>-280</v>
      </c>
      <c r="I24" s="103"/>
    </row>
    <row r="25" s="132" customFormat="1" ht="14.25" spans="1:9">
      <c r="A25" s="94">
        <v>17</v>
      </c>
      <c r="B25" s="146" t="s">
        <v>185</v>
      </c>
      <c r="C25" s="147">
        <v>1800</v>
      </c>
      <c r="D25" s="147">
        <f t="shared" si="6"/>
        <v>272.3627</v>
      </c>
      <c r="E25" s="147">
        <v>272.3627</v>
      </c>
      <c r="F25" s="147"/>
      <c r="G25" s="147">
        <f t="shared" si="7"/>
        <v>1527.6373</v>
      </c>
      <c r="H25" s="148">
        <f t="shared" si="8"/>
        <v>-1527.6373</v>
      </c>
      <c r="I25" s="103"/>
    </row>
    <row r="26" s="132" customFormat="1" ht="14.25" spans="1:9">
      <c r="A26" s="94">
        <v>18</v>
      </c>
      <c r="B26" s="146" t="s">
        <v>186</v>
      </c>
      <c r="C26" s="147">
        <v>1745.1</v>
      </c>
      <c r="D26" s="147">
        <f t="shared" si="6"/>
        <v>0</v>
      </c>
      <c r="E26" s="147">
        <v>0</v>
      </c>
      <c r="F26" s="147"/>
      <c r="G26" s="147">
        <f t="shared" si="7"/>
        <v>1745.1</v>
      </c>
      <c r="H26" s="148">
        <f t="shared" si="8"/>
        <v>-1745.1</v>
      </c>
      <c r="I26" s="103"/>
    </row>
    <row r="27" s="132" customFormat="1" ht="14.25" spans="1:9">
      <c r="A27" s="94">
        <v>19</v>
      </c>
      <c r="B27" s="146" t="s">
        <v>187</v>
      </c>
      <c r="C27" s="147">
        <v>1089</v>
      </c>
      <c r="D27" s="147">
        <f t="shared" si="6"/>
        <v>760.282587</v>
      </c>
      <c r="E27" s="147">
        <v>760.282587</v>
      </c>
      <c r="F27" s="147"/>
      <c r="G27" s="147">
        <f t="shared" si="7"/>
        <v>328.717413</v>
      </c>
      <c r="H27" s="148">
        <f t="shared" si="8"/>
        <v>-328.717413</v>
      </c>
      <c r="I27" s="103"/>
    </row>
    <row r="28" s="132" customFormat="1" ht="14.25" spans="1:9">
      <c r="A28" s="94">
        <v>20</v>
      </c>
      <c r="B28" s="146" t="s">
        <v>188</v>
      </c>
      <c r="C28" s="147">
        <v>1480</v>
      </c>
      <c r="D28" s="147">
        <f t="shared" si="6"/>
        <v>336.43062</v>
      </c>
      <c r="E28" s="147">
        <v>336.43062</v>
      </c>
      <c r="F28" s="147"/>
      <c r="G28" s="147">
        <f t="shared" si="7"/>
        <v>1143.56938</v>
      </c>
      <c r="H28" s="148">
        <f t="shared" si="8"/>
        <v>-1143.56938</v>
      </c>
      <c r="I28" s="103"/>
    </row>
    <row r="29" s="132" customFormat="1" ht="14.25" spans="1:9">
      <c r="A29" s="94">
        <v>21</v>
      </c>
      <c r="B29" s="146" t="s">
        <v>189</v>
      </c>
      <c r="C29" s="147">
        <v>1008</v>
      </c>
      <c r="D29" s="147">
        <f t="shared" si="6"/>
        <v>838.488628</v>
      </c>
      <c r="E29" s="147">
        <v>838.488628</v>
      </c>
      <c r="F29" s="147"/>
      <c r="G29" s="147">
        <f t="shared" si="7"/>
        <v>169.511372</v>
      </c>
      <c r="H29" s="148">
        <f t="shared" si="8"/>
        <v>-169.511372</v>
      </c>
      <c r="I29" s="103"/>
    </row>
    <row r="30" s="132" customFormat="1" ht="14.25" spans="1:9">
      <c r="A30" s="94">
        <v>22</v>
      </c>
      <c r="B30" s="146" t="s">
        <v>190</v>
      </c>
      <c r="C30" s="147">
        <v>3000</v>
      </c>
      <c r="D30" s="147">
        <f t="shared" si="6"/>
        <v>0</v>
      </c>
      <c r="E30" s="147">
        <v>0</v>
      </c>
      <c r="F30" s="147"/>
      <c r="G30" s="147">
        <f t="shared" si="7"/>
        <v>3000</v>
      </c>
      <c r="H30" s="148">
        <f t="shared" si="8"/>
        <v>-3000</v>
      </c>
      <c r="I30" s="103"/>
    </row>
    <row r="31" s="132" customFormat="1" ht="14.25" spans="1:9">
      <c r="A31" s="94">
        <v>23</v>
      </c>
      <c r="B31" s="146" t="s">
        <v>191</v>
      </c>
      <c r="C31" s="147">
        <v>3823</v>
      </c>
      <c r="D31" s="147">
        <f t="shared" si="6"/>
        <v>3236.589855</v>
      </c>
      <c r="E31" s="147">
        <v>3236.589855</v>
      </c>
      <c r="F31" s="147"/>
      <c r="G31" s="147">
        <f t="shared" si="7"/>
        <v>586.410145</v>
      </c>
      <c r="H31" s="148">
        <f t="shared" si="8"/>
        <v>-586.410145</v>
      </c>
      <c r="I31" s="103"/>
    </row>
    <row r="32" s="132" customFormat="1" ht="14.25" spans="1:9">
      <c r="A32" s="94">
        <v>24</v>
      </c>
      <c r="B32" s="146" t="s">
        <v>192</v>
      </c>
      <c r="C32" s="147">
        <v>3000</v>
      </c>
      <c r="D32" s="147">
        <f t="shared" si="6"/>
        <v>1588.893137</v>
      </c>
      <c r="E32" s="147">
        <v>1588.893137</v>
      </c>
      <c r="F32" s="147"/>
      <c r="G32" s="147">
        <f t="shared" si="7"/>
        <v>1411.106863</v>
      </c>
      <c r="H32" s="148">
        <f t="shared" si="8"/>
        <v>-1411.106863</v>
      </c>
      <c r="I32" s="103"/>
    </row>
    <row r="33" s="132" customFormat="1" ht="14.25" spans="1:9">
      <c r="A33" s="94">
        <v>25</v>
      </c>
      <c r="B33" s="146" t="s">
        <v>193</v>
      </c>
      <c r="C33" s="147">
        <v>4424</v>
      </c>
      <c r="D33" s="147">
        <f t="shared" si="6"/>
        <v>3064.561174</v>
      </c>
      <c r="E33" s="147">
        <v>3064.561174</v>
      </c>
      <c r="F33" s="147"/>
      <c r="G33" s="147">
        <f t="shared" si="7"/>
        <v>1359.438826</v>
      </c>
      <c r="H33" s="148">
        <f t="shared" si="8"/>
        <v>-1359.438826</v>
      </c>
      <c r="I33" s="103"/>
    </row>
    <row r="34" s="132" customFormat="1" ht="14.25" spans="1:9">
      <c r="A34" s="94">
        <v>26</v>
      </c>
      <c r="B34" s="146" t="s">
        <v>194</v>
      </c>
      <c r="C34" s="147">
        <v>2644.69</v>
      </c>
      <c r="D34" s="147">
        <f t="shared" si="6"/>
        <v>1033.554918</v>
      </c>
      <c r="E34" s="147">
        <v>1033.554918</v>
      </c>
      <c r="F34" s="147"/>
      <c r="G34" s="147">
        <f t="shared" si="7"/>
        <v>1611.135082</v>
      </c>
      <c r="H34" s="148">
        <f t="shared" si="8"/>
        <v>-1611.135082</v>
      </c>
      <c r="I34" s="103"/>
    </row>
    <row r="35" s="132" customFormat="1" ht="14.25" spans="1:9">
      <c r="A35" s="94">
        <v>27</v>
      </c>
      <c r="B35" s="146" t="s">
        <v>195</v>
      </c>
      <c r="C35" s="147">
        <v>1500</v>
      </c>
      <c r="D35" s="147">
        <f t="shared" si="6"/>
        <v>454.86</v>
      </c>
      <c r="E35" s="147">
        <v>454.86</v>
      </c>
      <c r="F35" s="147"/>
      <c r="G35" s="147">
        <f t="shared" si="7"/>
        <v>1045.14</v>
      </c>
      <c r="H35" s="148">
        <f t="shared" si="8"/>
        <v>-1045.14</v>
      </c>
      <c r="I35" s="103"/>
    </row>
    <row r="36" s="132" customFormat="1" ht="28.5" spans="1:9">
      <c r="A36" s="94">
        <v>28</v>
      </c>
      <c r="B36" s="146" t="s">
        <v>196</v>
      </c>
      <c r="C36" s="147">
        <v>1106</v>
      </c>
      <c r="D36" s="147">
        <f t="shared" si="6"/>
        <v>483.33624</v>
      </c>
      <c r="E36" s="147">
        <v>483.33624</v>
      </c>
      <c r="F36" s="147"/>
      <c r="G36" s="147">
        <f t="shared" si="7"/>
        <v>622.66376</v>
      </c>
      <c r="H36" s="148">
        <f t="shared" si="8"/>
        <v>-622.66376</v>
      </c>
      <c r="I36" s="103"/>
    </row>
    <row r="37" s="132" customFormat="1" ht="14.25" spans="1:9">
      <c r="A37" s="94">
        <v>29</v>
      </c>
      <c r="B37" s="146" t="s">
        <v>197</v>
      </c>
      <c r="C37" s="147">
        <v>3560</v>
      </c>
      <c r="D37" s="147">
        <f t="shared" si="6"/>
        <v>1928.3506</v>
      </c>
      <c r="E37" s="147">
        <v>1928.3506</v>
      </c>
      <c r="F37" s="147"/>
      <c r="G37" s="147">
        <f t="shared" si="7"/>
        <v>1631.6494</v>
      </c>
      <c r="H37" s="148">
        <f t="shared" si="8"/>
        <v>-1631.6494</v>
      </c>
      <c r="I37" s="103"/>
    </row>
    <row r="38" s="132" customFormat="1" ht="14.25" spans="1:9">
      <c r="A38" s="94">
        <v>30</v>
      </c>
      <c r="B38" s="146" t="s">
        <v>198</v>
      </c>
      <c r="C38" s="147">
        <v>7100</v>
      </c>
      <c r="D38" s="147">
        <f t="shared" si="6"/>
        <v>5480.303294</v>
      </c>
      <c r="E38" s="147">
        <v>5480.303294</v>
      </c>
      <c r="F38" s="147"/>
      <c r="G38" s="147">
        <f t="shared" si="7"/>
        <v>1619.696706</v>
      </c>
      <c r="H38" s="148">
        <f t="shared" si="8"/>
        <v>-1619.696706</v>
      </c>
      <c r="I38" s="103"/>
    </row>
    <row r="39" s="132" customFormat="1" ht="14.25" spans="1:9">
      <c r="A39" s="94">
        <v>31</v>
      </c>
      <c r="B39" s="146" t="s">
        <v>199</v>
      </c>
      <c r="C39" s="147">
        <v>1300</v>
      </c>
      <c r="D39" s="147">
        <f t="shared" si="6"/>
        <v>0</v>
      </c>
      <c r="E39" s="147">
        <v>0</v>
      </c>
      <c r="F39" s="147"/>
      <c r="G39" s="147">
        <f t="shared" si="7"/>
        <v>1300</v>
      </c>
      <c r="H39" s="148">
        <f t="shared" si="8"/>
        <v>-1300</v>
      </c>
      <c r="I39" s="103"/>
    </row>
    <row r="40" s="132" customFormat="1" ht="14.25" spans="1:9">
      <c r="A40" s="94">
        <v>32</v>
      </c>
      <c r="B40" s="146" t="s">
        <v>200</v>
      </c>
      <c r="C40" s="147">
        <v>1750</v>
      </c>
      <c r="D40" s="147">
        <f t="shared" si="6"/>
        <v>1275.972254</v>
      </c>
      <c r="E40" s="147">
        <v>1275.972254</v>
      </c>
      <c r="F40" s="147"/>
      <c r="G40" s="147">
        <f t="shared" si="7"/>
        <v>474.027746</v>
      </c>
      <c r="H40" s="148">
        <f t="shared" si="8"/>
        <v>-474.027746</v>
      </c>
      <c r="I40" s="103"/>
    </row>
    <row r="41" s="132" customFormat="1" ht="14.25" spans="1:9">
      <c r="A41" s="94">
        <v>33</v>
      </c>
      <c r="B41" s="146" t="s">
        <v>201</v>
      </c>
      <c r="C41" s="147">
        <v>30000</v>
      </c>
      <c r="D41" s="147">
        <f t="shared" si="6"/>
        <v>11832.193705</v>
      </c>
      <c r="E41" s="147">
        <v>11832.193705</v>
      </c>
      <c r="F41" s="147"/>
      <c r="G41" s="147">
        <f t="shared" si="7"/>
        <v>18167.806295</v>
      </c>
      <c r="H41" s="148">
        <f t="shared" si="8"/>
        <v>-18167.806295</v>
      </c>
      <c r="I41" s="103"/>
    </row>
    <row r="42" s="132" customFormat="1" ht="14.25" spans="1:9">
      <c r="A42" s="94">
        <v>34</v>
      </c>
      <c r="B42" s="146" t="s">
        <v>202</v>
      </c>
      <c r="C42" s="147">
        <v>2385</v>
      </c>
      <c r="D42" s="147">
        <f t="shared" si="6"/>
        <v>0</v>
      </c>
      <c r="E42" s="147">
        <v>0</v>
      </c>
      <c r="F42" s="147"/>
      <c r="G42" s="147">
        <f t="shared" si="7"/>
        <v>2385</v>
      </c>
      <c r="H42" s="148">
        <f t="shared" si="8"/>
        <v>-2385</v>
      </c>
      <c r="I42" s="103"/>
    </row>
    <row r="43" s="132" customFormat="1" ht="14.25" spans="1:9">
      <c r="A43" s="94">
        <v>35</v>
      </c>
      <c r="B43" s="146" t="s">
        <v>203</v>
      </c>
      <c r="C43" s="147">
        <v>2655</v>
      </c>
      <c r="D43" s="147">
        <f t="shared" si="6"/>
        <v>1008.306</v>
      </c>
      <c r="E43" s="147">
        <v>1008.306</v>
      </c>
      <c r="F43" s="147"/>
      <c r="G43" s="147">
        <f t="shared" si="7"/>
        <v>1646.694</v>
      </c>
      <c r="H43" s="148">
        <f t="shared" si="8"/>
        <v>-1646.694</v>
      </c>
      <c r="I43" s="103"/>
    </row>
    <row r="44" s="132" customFormat="1" ht="14.25" spans="1:9">
      <c r="A44" s="94">
        <v>36</v>
      </c>
      <c r="B44" s="146" t="s">
        <v>204</v>
      </c>
      <c r="C44" s="147">
        <v>2063</v>
      </c>
      <c r="D44" s="147">
        <f t="shared" si="6"/>
        <v>1547.25</v>
      </c>
      <c r="E44" s="147">
        <v>1547.25</v>
      </c>
      <c r="F44" s="147"/>
      <c r="G44" s="147">
        <f t="shared" si="7"/>
        <v>515.75</v>
      </c>
      <c r="H44" s="148">
        <f t="shared" si="8"/>
        <v>-515.75</v>
      </c>
      <c r="I44" s="103"/>
    </row>
    <row r="45" s="132" customFormat="1" ht="14.25" spans="1:9">
      <c r="A45" s="94">
        <v>37</v>
      </c>
      <c r="B45" s="146" t="s">
        <v>205</v>
      </c>
      <c r="C45" s="147">
        <v>28113.8</v>
      </c>
      <c r="D45" s="147">
        <f t="shared" si="6"/>
        <v>0</v>
      </c>
      <c r="E45" s="147">
        <v>0</v>
      </c>
      <c r="F45" s="147"/>
      <c r="G45" s="147">
        <f t="shared" si="7"/>
        <v>28113.8</v>
      </c>
      <c r="H45" s="148">
        <f t="shared" si="8"/>
        <v>-28113.8</v>
      </c>
      <c r="I45" s="103"/>
    </row>
    <row r="46" s="132" customFormat="1" ht="14.25" spans="1:9">
      <c r="A46" s="94">
        <v>38</v>
      </c>
      <c r="B46" s="146" t="s">
        <v>206</v>
      </c>
      <c r="C46" s="147">
        <v>2680.96</v>
      </c>
      <c r="D46" s="147">
        <f t="shared" si="6"/>
        <v>0</v>
      </c>
      <c r="E46" s="147">
        <v>0</v>
      </c>
      <c r="F46" s="147"/>
      <c r="G46" s="147">
        <f t="shared" si="7"/>
        <v>2680.96</v>
      </c>
      <c r="H46" s="148">
        <f t="shared" si="8"/>
        <v>-2680.96</v>
      </c>
      <c r="I46" s="103"/>
    </row>
    <row r="47" s="132" customFormat="1" ht="14.25" spans="1:9">
      <c r="A47" s="94">
        <v>39</v>
      </c>
      <c r="B47" s="146" t="s">
        <v>207</v>
      </c>
      <c r="C47" s="147">
        <v>1000</v>
      </c>
      <c r="D47" s="147">
        <f t="shared" si="6"/>
        <v>602.5</v>
      </c>
      <c r="E47" s="147">
        <v>602.5</v>
      </c>
      <c r="F47" s="147"/>
      <c r="G47" s="147">
        <f t="shared" si="7"/>
        <v>397.5</v>
      </c>
      <c r="H47" s="148">
        <f t="shared" si="8"/>
        <v>-397.5</v>
      </c>
      <c r="I47" s="103"/>
    </row>
    <row r="48" s="132" customFormat="1" ht="14.25" spans="1:9">
      <c r="A48" s="94">
        <v>40</v>
      </c>
      <c r="B48" s="146" t="s">
        <v>208</v>
      </c>
      <c r="C48" s="147">
        <v>1000</v>
      </c>
      <c r="D48" s="147">
        <f t="shared" si="6"/>
        <v>0</v>
      </c>
      <c r="E48" s="147">
        <v>0</v>
      </c>
      <c r="F48" s="147"/>
      <c r="G48" s="147">
        <f t="shared" si="7"/>
        <v>1000</v>
      </c>
      <c r="H48" s="148">
        <f t="shared" si="8"/>
        <v>-1000</v>
      </c>
      <c r="I48" s="103"/>
    </row>
    <row r="49" s="132" customFormat="1" ht="14.25" spans="1:9">
      <c r="A49" s="94">
        <v>41</v>
      </c>
      <c r="B49" s="146" t="s">
        <v>209</v>
      </c>
      <c r="C49" s="147">
        <v>1604.3</v>
      </c>
      <c r="D49" s="147">
        <f t="shared" si="6"/>
        <v>238.555084</v>
      </c>
      <c r="E49" s="147">
        <v>238.555084</v>
      </c>
      <c r="F49" s="147"/>
      <c r="G49" s="147">
        <f t="shared" si="7"/>
        <v>1365.744916</v>
      </c>
      <c r="H49" s="148">
        <f t="shared" si="8"/>
        <v>-1365.744916</v>
      </c>
      <c r="I49" s="103"/>
    </row>
    <row r="50" s="132" customFormat="1" ht="14.25" spans="1:9">
      <c r="A50" s="94">
        <v>42</v>
      </c>
      <c r="B50" s="146" t="s">
        <v>210</v>
      </c>
      <c r="C50" s="147">
        <v>16657</v>
      </c>
      <c r="D50" s="147">
        <f t="shared" si="6"/>
        <v>0</v>
      </c>
      <c r="E50" s="147">
        <v>0</v>
      </c>
      <c r="F50" s="147"/>
      <c r="G50" s="147">
        <f t="shared" si="7"/>
        <v>16657</v>
      </c>
      <c r="H50" s="148">
        <f t="shared" si="8"/>
        <v>-16657</v>
      </c>
      <c r="I50" s="103"/>
    </row>
    <row r="51" s="132" customFormat="1" ht="14.25" spans="1:9">
      <c r="A51" s="94">
        <v>43</v>
      </c>
      <c r="B51" s="146" t="s">
        <v>211</v>
      </c>
      <c r="C51" s="147">
        <v>27895.14</v>
      </c>
      <c r="D51" s="147">
        <f t="shared" ref="D51:D67" si="9">E51+F51</f>
        <v>17297.84</v>
      </c>
      <c r="E51" s="147">
        <v>17297.84</v>
      </c>
      <c r="F51" s="147"/>
      <c r="G51" s="147">
        <f t="shared" ref="G51:G67" si="10">C51-D51</f>
        <v>10597.3</v>
      </c>
      <c r="H51" s="148">
        <f t="shared" ref="H51:H67" si="11">-G51</f>
        <v>-10597.3</v>
      </c>
      <c r="I51" s="103"/>
    </row>
    <row r="52" s="132" customFormat="1" ht="14.25" spans="1:9">
      <c r="A52" s="94">
        <v>44</v>
      </c>
      <c r="B52" s="146" t="s">
        <v>212</v>
      </c>
      <c r="C52" s="147">
        <v>1401.2192</v>
      </c>
      <c r="D52" s="147">
        <f t="shared" si="9"/>
        <v>1051.655</v>
      </c>
      <c r="E52" s="147">
        <v>1051.655</v>
      </c>
      <c r="F52" s="147"/>
      <c r="G52" s="147">
        <f t="shared" si="10"/>
        <v>349.5642</v>
      </c>
      <c r="H52" s="148">
        <f t="shared" si="11"/>
        <v>-349.5642</v>
      </c>
      <c r="I52" s="103"/>
    </row>
    <row r="53" s="132" customFormat="1" ht="14.25" spans="1:9">
      <c r="A53" s="94">
        <v>45</v>
      </c>
      <c r="B53" s="146" t="s">
        <v>213</v>
      </c>
      <c r="C53" s="147">
        <v>1306</v>
      </c>
      <c r="D53" s="147">
        <f t="shared" si="9"/>
        <v>710.417717</v>
      </c>
      <c r="E53" s="147">
        <v>710.417717</v>
      </c>
      <c r="F53" s="147"/>
      <c r="G53" s="147">
        <f t="shared" si="10"/>
        <v>595.582283</v>
      </c>
      <c r="H53" s="148">
        <f t="shared" si="11"/>
        <v>-595.582283</v>
      </c>
      <c r="I53" s="103"/>
    </row>
    <row r="54" s="132" customFormat="1" ht="14.25" spans="1:9">
      <c r="A54" s="94">
        <v>46</v>
      </c>
      <c r="B54" s="146" t="s">
        <v>214</v>
      </c>
      <c r="C54" s="147">
        <v>1800</v>
      </c>
      <c r="D54" s="147">
        <f t="shared" si="9"/>
        <v>0</v>
      </c>
      <c r="E54" s="147">
        <v>0</v>
      </c>
      <c r="F54" s="147"/>
      <c r="G54" s="147">
        <f t="shared" si="10"/>
        <v>1800</v>
      </c>
      <c r="H54" s="148">
        <f t="shared" si="11"/>
        <v>-1800</v>
      </c>
      <c r="I54" s="103"/>
    </row>
    <row r="55" s="132" customFormat="1" ht="14.25" spans="1:9">
      <c r="A55" s="94">
        <v>47</v>
      </c>
      <c r="B55" s="146" t="s">
        <v>215</v>
      </c>
      <c r="C55" s="147">
        <v>1171.8</v>
      </c>
      <c r="D55" s="147">
        <f t="shared" si="9"/>
        <v>107.735</v>
      </c>
      <c r="E55" s="147">
        <v>107.735</v>
      </c>
      <c r="F55" s="147"/>
      <c r="G55" s="147">
        <f t="shared" si="10"/>
        <v>1064.065</v>
      </c>
      <c r="H55" s="148">
        <f t="shared" si="11"/>
        <v>-1064.065</v>
      </c>
      <c r="I55" s="103"/>
    </row>
    <row r="56" s="132" customFormat="1" ht="14.25" spans="1:9">
      <c r="A56" s="94">
        <v>48</v>
      </c>
      <c r="B56" s="146" t="s">
        <v>216</v>
      </c>
      <c r="C56" s="147">
        <v>1444.26</v>
      </c>
      <c r="D56" s="147">
        <f t="shared" si="9"/>
        <v>767.2485</v>
      </c>
      <c r="E56" s="147">
        <v>767.2485</v>
      </c>
      <c r="F56" s="147"/>
      <c r="G56" s="147">
        <f t="shared" si="10"/>
        <v>677.0115</v>
      </c>
      <c r="H56" s="148">
        <f t="shared" si="11"/>
        <v>-677.0115</v>
      </c>
      <c r="I56" s="103"/>
    </row>
    <row r="57" s="132" customFormat="1" ht="14.25" spans="1:9">
      <c r="A57" s="94">
        <v>49</v>
      </c>
      <c r="B57" s="146" t="s">
        <v>217</v>
      </c>
      <c r="C57" s="147">
        <v>3461.58</v>
      </c>
      <c r="D57" s="147">
        <f t="shared" si="9"/>
        <v>1820.5434</v>
      </c>
      <c r="E57" s="147">
        <v>1820.5434</v>
      </c>
      <c r="F57" s="147"/>
      <c r="G57" s="147">
        <f t="shared" si="10"/>
        <v>1641.0366</v>
      </c>
      <c r="H57" s="148">
        <f t="shared" si="11"/>
        <v>-1641.0366</v>
      </c>
      <c r="I57" s="103"/>
    </row>
    <row r="58" s="132" customFormat="1" ht="14.25" spans="1:9">
      <c r="A58" s="94">
        <v>50</v>
      </c>
      <c r="B58" s="146" t="s">
        <v>218</v>
      </c>
      <c r="C58" s="147">
        <v>2017.8</v>
      </c>
      <c r="D58" s="147">
        <f t="shared" si="9"/>
        <v>313.6915</v>
      </c>
      <c r="E58" s="147">
        <v>313.6915</v>
      </c>
      <c r="F58" s="147"/>
      <c r="G58" s="147">
        <f t="shared" si="10"/>
        <v>1704.1085</v>
      </c>
      <c r="H58" s="148">
        <f t="shared" si="11"/>
        <v>-1704.1085</v>
      </c>
      <c r="I58" s="103"/>
    </row>
    <row r="59" s="132" customFormat="1" ht="14.25" spans="1:9">
      <c r="A59" s="94">
        <v>51</v>
      </c>
      <c r="B59" s="146" t="s">
        <v>219</v>
      </c>
      <c r="C59" s="147">
        <v>9446.4</v>
      </c>
      <c r="D59" s="147">
        <f t="shared" si="9"/>
        <v>3913.0306</v>
      </c>
      <c r="E59" s="147">
        <v>3913.0306</v>
      </c>
      <c r="F59" s="147"/>
      <c r="G59" s="147">
        <f t="shared" si="10"/>
        <v>5533.3694</v>
      </c>
      <c r="H59" s="148">
        <f t="shared" si="11"/>
        <v>-5533.3694</v>
      </c>
      <c r="I59" s="103"/>
    </row>
    <row r="60" s="132" customFormat="1" ht="14.25" spans="1:9">
      <c r="A60" s="94">
        <v>52</v>
      </c>
      <c r="B60" s="146" t="s">
        <v>220</v>
      </c>
      <c r="C60" s="147">
        <v>6510.838</v>
      </c>
      <c r="D60" s="147">
        <f t="shared" si="9"/>
        <v>2928.73</v>
      </c>
      <c r="E60" s="147">
        <v>2928.73</v>
      </c>
      <c r="F60" s="147"/>
      <c r="G60" s="147">
        <f t="shared" si="10"/>
        <v>3582.108</v>
      </c>
      <c r="H60" s="148">
        <f t="shared" si="11"/>
        <v>-3582.108</v>
      </c>
      <c r="I60" s="103"/>
    </row>
    <row r="61" s="132" customFormat="1" ht="14.25" spans="1:9">
      <c r="A61" s="94">
        <v>53</v>
      </c>
      <c r="B61" s="146" t="s">
        <v>221</v>
      </c>
      <c r="C61" s="147">
        <v>2700</v>
      </c>
      <c r="D61" s="147">
        <f t="shared" si="9"/>
        <v>0</v>
      </c>
      <c r="E61" s="147">
        <v>0</v>
      </c>
      <c r="F61" s="147"/>
      <c r="G61" s="147">
        <f t="shared" si="10"/>
        <v>2700</v>
      </c>
      <c r="H61" s="148">
        <f t="shared" si="11"/>
        <v>-2700</v>
      </c>
      <c r="I61" s="103"/>
    </row>
    <row r="62" s="132" customFormat="1" ht="14.25" spans="1:9">
      <c r="A62" s="94">
        <v>54</v>
      </c>
      <c r="B62" s="146" t="s">
        <v>222</v>
      </c>
      <c r="C62" s="147">
        <v>3362.4</v>
      </c>
      <c r="D62" s="147">
        <f t="shared" si="9"/>
        <v>0</v>
      </c>
      <c r="E62" s="147">
        <v>0</v>
      </c>
      <c r="F62" s="147"/>
      <c r="G62" s="147">
        <f t="shared" si="10"/>
        <v>3362.4</v>
      </c>
      <c r="H62" s="148">
        <f t="shared" si="11"/>
        <v>-3362.4</v>
      </c>
      <c r="I62" s="103"/>
    </row>
    <row r="63" s="132" customFormat="1" ht="14.25" spans="1:9">
      <c r="A63" s="94">
        <v>55</v>
      </c>
      <c r="B63" s="146" t="s">
        <v>223</v>
      </c>
      <c r="C63" s="147">
        <v>10000</v>
      </c>
      <c r="D63" s="147">
        <f t="shared" si="9"/>
        <v>2553.851092</v>
      </c>
      <c r="E63" s="147">
        <v>2553.851092</v>
      </c>
      <c r="F63" s="147"/>
      <c r="G63" s="147">
        <f t="shared" si="10"/>
        <v>7446.148908</v>
      </c>
      <c r="H63" s="148">
        <f t="shared" si="11"/>
        <v>-7446.148908</v>
      </c>
      <c r="I63" s="103"/>
    </row>
    <row r="64" s="132" customFormat="1" ht="14.25" spans="1:9">
      <c r="A64" s="94">
        <v>56</v>
      </c>
      <c r="B64" s="146" t="s">
        <v>224</v>
      </c>
      <c r="C64" s="147">
        <v>9614.55412</v>
      </c>
      <c r="D64" s="147">
        <f t="shared" si="9"/>
        <v>8735.92</v>
      </c>
      <c r="E64" s="147">
        <v>8735.92</v>
      </c>
      <c r="F64" s="147"/>
      <c r="G64" s="147">
        <f t="shared" si="10"/>
        <v>878.634120000001</v>
      </c>
      <c r="H64" s="148">
        <f t="shared" si="11"/>
        <v>-878.634120000001</v>
      </c>
      <c r="I64" s="103"/>
    </row>
    <row r="65" s="132" customFormat="1" ht="14.25" spans="1:9">
      <c r="A65" s="94">
        <v>57</v>
      </c>
      <c r="B65" s="146" t="s">
        <v>225</v>
      </c>
      <c r="C65" s="147">
        <v>1200</v>
      </c>
      <c r="D65" s="147">
        <f t="shared" si="9"/>
        <v>0</v>
      </c>
      <c r="E65" s="147">
        <v>0</v>
      </c>
      <c r="F65" s="147"/>
      <c r="G65" s="147">
        <f t="shared" si="10"/>
        <v>1200</v>
      </c>
      <c r="H65" s="148">
        <f t="shared" si="11"/>
        <v>-1200</v>
      </c>
      <c r="I65" s="103"/>
    </row>
    <row r="66" s="132" customFormat="1" ht="14.25" spans="1:9">
      <c r="A66" s="94">
        <v>58</v>
      </c>
      <c r="B66" s="146" t="s">
        <v>226</v>
      </c>
      <c r="C66" s="147">
        <v>16600</v>
      </c>
      <c r="D66" s="147">
        <f t="shared" si="9"/>
        <v>0</v>
      </c>
      <c r="E66" s="147">
        <v>0</v>
      </c>
      <c r="F66" s="147"/>
      <c r="G66" s="147">
        <f t="shared" si="10"/>
        <v>16600</v>
      </c>
      <c r="H66" s="148">
        <f t="shared" si="11"/>
        <v>-16600</v>
      </c>
      <c r="I66" s="103"/>
    </row>
    <row r="67" s="132" customFormat="1" ht="14.25" spans="1:9">
      <c r="A67" s="94">
        <v>59</v>
      </c>
      <c r="B67" s="146" t="s">
        <v>227</v>
      </c>
      <c r="C67" s="147">
        <v>2432.33</v>
      </c>
      <c r="D67" s="147">
        <f t="shared" ref="D67:D84" si="12">E67+F67</f>
        <v>819.4234</v>
      </c>
      <c r="E67" s="147">
        <v>819.4234</v>
      </c>
      <c r="F67" s="147"/>
      <c r="G67" s="147">
        <f t="shared" ref="G67:G84" si="13">C67-D67</f>
        <v>1612.9066</v>
      </c>
      <c r="H67" s="148">
        <f t="shared" ref="H67:H84" si="14">-G67</f>
        <v>-1612.9066</v>
      </c>
      <c r="I67" s="103"/>
    </row>
    <row r="68" s="132" customFormat="1" ht="14.25" spans="1:9">
      <c r="A68" s="94">
        <v>60</v>
      </c>
      <c r="B68" s="146" t="s">
        <v>228</v>
      </c>
      <c r="C68" s="147">
        <v>1184.3667</v>
      </c>
      <c r="D68" s="147">
        <f t="shared" si="12"/>
        <v>533.526</v>
      </c>
      <c r="E68" s="147">
        <v>533.526</v>
      </c>
      <c r="F68" s="147"/>
      <c r="G68" s="147">
        <f t="shared" si="13"/>
        <v>650.8407</v>
      </c>
      <c r="H68" s="148">
        <f t="shared" si="14"/>
        <v>-650.8407</v>
      </c>
      <c r="I68" s="103"/>
    </row>
    <row r="69" s="132" customFormat="1" ht="14.25" spans="1:9">
      <c r="A69" s="94">
        <v>61</v>
      </c>
      <c r="B69" s="146" t="s">
        <v>229</v>
      </c>
      <c r="C69" s="147">
        <v>3200</v>
      </c>
      <c r="D69" s="147">
        <f t="shared" si="12"/>
        <v>0</v>
      </c>
      <c r="E69" s="147">
        <v>0</v>
      </c>
      <c r="F69" s="147"/>
      <c r="G69" s="147">
        <f t="shared" si="13"/>
        <v>3200</v>
      </c>
      <c r="H69" s="148">
        <f t="shared" si="14"/>
        <v>-3200</v>
      </c>
      <c r="I69" s="103"/>
    </row>
    <row r="70" s="132" customFormat="1" ht="14.25" spans="1:9">
      <c r="A70" s="94">
        <v>62</v>
      </c>
      <c r="B70" s="146" t="s">
        <v>230</v>
      </c>
      <c r="C70" s="147">
        <v>46724</v>
      </c>
      <c r="D70" s="147">
        <f t="shared" si="12"/>
        <v>12300</v>
      </c>
      <c r="E70" s="147">
        <v>12300</v>
      </c>
      <c r="F70" s="147"/>
      <c r="G70" s="147">
        <f t="shared" si="13"/>
        <v>34424</v>
      </c>
      <c r="H70" s="148">
        <f t="shared" si="14"/>
        <v>-34424</v>
      </c>
      <c r="I70" s="103"/>
    </row>
    <row r="71" s="69" customFormat="1" ht="14.25" spans="1:9">
      <c r="A71" s="90"/>
      <c r="B71" s="93" t="s">
        <v>231</v>
      </c>
      <c r="C71" s="145">
        <f t="shared" ref="C71:H71" si="15">SUM(C72:C80)</f>
        <v>74013.21782</v>
      </c>
      <c r="D71" s="145">
        <f t="shared" si="15"/>
        <v>17734.062134</v>
      </c>
      <c r="E71" s="145">
        <f t="shared" si="15"/>
        <v>16431.062134</v>
      </c>
      <c r="F71" s="145">
        <f t="shared" si="15"/>
        <v>1303</v>
      </c>
      <c r="G71" s="145">
        <f t="shared" si="15"/>
        <v>56279.155686</v>
      </c>
      <c r="H71" s="145">
        <f t="shared" si="15"/>
        <v>-56279.155686</v>
      </c>
      <c r="I71" s="102"/>
    </row>
    <row r="72" s="133" customFormat="1" ht="14.25" spans="1:10">
      <c r="A72" s="149">
        <v>1</v>
      </c>
      <c r="B72" s="146" t="s">
        <v>232</v>
      </c>
      <c r="C72" s="147">
        <f>9261500/10000</f>
        <v>926.15</v>
      </c>
      <c r="D72" s="147">
        <f t="shared" si="12"/>
        <v>16.03527</v>
      </c>
      <c r="E72" s="147">
        <f>160352.7/10000</f>
        <v>16.03527</v>
      </c>
      <c r="F72" s="147"/>
      <c r="G72" s="147">
        <f t="shared" si="13"/>
        <v>910.11473</v>
      </c>
      <c r="H72" s="147">
        <f t="shared" si="14"/>
        <v>-910.11473</v>
      </c>
      <c r="I72" s="105"/>
      <c r="J72" s="153"/>
    </row>
    <row r="73" s="133" customFormat="1" ht="28.5" spans="1:10">
      <c r="A73" s="149">
        <v>2</v>
      </c>
      <c r="B73" s="146" t="s">
        <v>233</v>
      </c>
      <c r="C73" s="147">
        <f>5114340/10000</f>
        <v>511.434</v>
      </c>
      <c r="D73" s="147">
        <f t="shared" si="12"/>
        <v>100</v>
      </c>
      <c r="E73" s="147">
        <v>0</v>
      </c>
      <c r="F73" s="147">
        <f>1000000/10000</f>
        <v>100</v>
      </c>
      <c r="G73" s="147">
        <f t="shared" si="13"/>
        <v>411.434</v>
      </c>
      <c r="H73" s="147">
        <f t="shared" si="14"/>
        <v>-411.434</v>
      </c>
      <c r="I73" s="105"/>
      <c r="J73" s="153"/>
    </row>
    <row r="74" s="133" customFormat="1" ht="14.25" spans="1:10">
      <c r="A74" s="149">
        <v>3</v>
      </c>
      <c r="B74" s="146" t="s">
        <v>234</v>
      </c>
      <c r="C74" s="147">
        <f>20662200/10000</f>
        <v>2066.22</v>
      </c>
      <c r="D74" s="147">
        <f t="shared" si="12"/>
        <v>1156.285864</v>
      </c>
      <c r="E74" s="147">
        <f>10362858.64/10000</f>
        <v>1036.285864</v>
      </c>
      <c r="F74" s="147">
        <v>120</v>
      </c>
      <c r="G74" s="147">
        <f t="shared" si="13"/>
        <v>909.934136</v>
      </c>
      <c r="H74" s="147">
        <f t="shared" si="14"/>
        <v>-909.934136</v>
      </c>
      <c r="I74" s="105"/>
      <c r="J74" s="153"/>
    </row>
    <row r="75" s="133" customFormat="1" ht="14.25" spans="1:10">
      <c r="A75" s="149">
        <v>4</v>
      </c>
      <c r="B75" s="146" t="s">
        <v>235</v>
      </c>
      <c r="C75" s="147">
        <f>26523400/10000</f>
        <v>2652.34</v>
      </c>
      <c r="D75" s="147">
        <f t="shared" si="12"/>
        <v>2482.741</v>
      </c>
      <c r="E75" s="147">
        <f>21177410/10000</f>
        <v>2117.741</v>
      </c>
      <c r="F75" s="147">
        <v>365</v>
      </c>
      <c r="G75" s="147">
        <f t="shared" si="13"/>
        <v>169.599</v>
      </c>
      <c r="H75" s="147">
        <f t="shared" si="14"/>
        <v>-169.599</v>
      </c>
      <c r="I75" s="105"/>
      <c r="J75" s="153"/>
    </row>
    <row r="76" s="133" customFormat="1" ht="14.25" spans="1:10">
      <c r="A76" s="149">
        <v>5</v>
      </c>
      <c r="B76" s="146" t="s">
        <v>236</v>
      </c>
      <c r="C76" s="147">
        <v>6000</v>
      </c>
      <c r="D76" s="147">
        <f t="shared" si="12"/>
        <v>0</v>
      </c>
      <c r="E76" s="147">
        <v>0</v>
      </c>
      <c r="F76" s="147">
        <v>0</v>
      </c>
      <c r="G76" s="147">
        <f t="shared" si="13"/>
        <v>6000</v>
      </c>
      <c r="H76" s="147">
        <f t="shared" si="14"/>
        <v>-6000</v>
      </c>
      <c r="I76" s="105"/>
      <c r="J76" s="153"/>
    </row>
    <row r="77" s="133" customFormat="1" ht="14.25" spans="1:10">
      <c r="A77" s="149">
        <v>6</v>
      </c>
      <c r="B77" s="146" t="s">
        <v>237</v>
      </c>
      <c r="C77" s="147">
        <v>4500</v>
      </c>
      <c r="D77" s="147">
        <f t="shared" si="12"/>
        <v>0</v>
      </c>
      <c r="E77" s="147">
        <v>0</v>
      </c>
      <c r="F77" s="147"/>
      <c r="G77" s="147">
        <f t="shared" si="13"/>
        <v>4500</v>
      </c>
      <c r="H77" s="147">
        <f t="shared" si="14"/>
        <v>-4500</v>
      </c>
      <c r="I77" s="105"/>
      <c r="J77" s="153"/>
    </row>
    <row r="78" s="133" customFormat="1" ht="14.25" spans="1:10">
      <c r="A78" s="149">
        <v>7</v>
      </c>
      <c r="B78" s="146" t="s">
        <v>238</v>
      </c>
      <c r="C78" s="147">
        <v>3000</v>
      </c>
      <c r="D78" s="147">
        <f t="shared" si="12"/>
        <v>1863</v>
      </c>
      <c r="E78" s="147">
        <f>2797-1652</f>
        <v>1145</v>
      </c>
      <c r="F78" s="147">
        <f>203+515</f>
        <v>718</v>
      </c>
      <c r="G78" s="147">
        <f t="shared" si="13"/>
        <v>1137</v>
      </c>
      <c r="H78" s="147">
        <f t="shared" si="14"/>
        <v>-1137</v>
      </c>
      <c r="I78" s="105"/>
      <c r="J78" s="153"/>
    </row>
    <row r="79" s="133" customFormat="1" ht="14.25" spans="1:10">
      <c r="A79" s="149">
        <v>8</v>
      </c>
      <c r="B79" s="146" t="s">
        <v>239</v>
      </c>
      <c r="C79" s="147">
        <v>3000</v>
      </c>
      <c r="D79" s="147">
        <f t="shared" si="12"/>
        <v>47</v>
      </c>
      <c r="E79" s="147">
        <v>47</v>
      </c>
      <c r="F79" s="147"/>
      <c r="G79" s="147">
        <f t="shared" si="13"/>
        <v>2953</v>
      </c>
      <c r="H79" s="147">
        <f t="shared" si="14"/>
        <v>-2953</v>
      </c>
      <c r="I79" s="105"/>
      <c r="J79" s="153"/>
    </row>
    <row r="80" s="69" customFormat="1" ht="14.25" spans="1:9">
      <c r="A80" s="149">
        <v>9</v>
      </c>
      <c r="B80" s="146" t="s">
        <v>240</v>
      </c>
      <c r="C80" s="147">
        <v>51357.07382</v>
      </c>
      <c r="D80" s="147">
        <v>12069</v>
      </c>
      <c r="E80" s="147">
        <v>12069</v>
      </c>
      <c r="F80" s="147">
        <v>0</v>
      </c>
      <c r="G80" s="147">
        <v>39288.07382</v>
      </c>
      <c r="H80" s="147">
        <v>-39288.07382</v>
      </c>
      <c r="I80" s="105"/>
    </row>
    <row r="81" s="72" customFormat="1" ht="14.25" spans="1:9">
      <c r="A81" s="106" t="s">
        <v>241</v>
      </c>
      <c r="B81" s="107" t="s">
        <v>242</v>
      </c>
      <c r="C81" s="150">
        <f t="shared" ref="C81:H81" si="16">C82+C130</f>
        <v>9000</v>
      </c>
      <c r="D81" s="150">
        <f t="shared" si="16"/>
        <v>438769.684716</v>
      </c>
      <c r="E81" s="150">
        <f t="shared" si="16"/>
        <v>405947.915536</v>
      </c>
      <c r="F81" s="150">
        <f t="shared" si="16"/>
        <v>32821.76918</v>
      </c>
      <c r="G81" s="150">
        <f t="shared" si="16"/>
        <v>-429769.684716</v>
      </c>
      <c r="H81" s="150">
        <f t="shared" si="16"/>
        <v>429769.684716</v>
      </c>
      <c r="I81" s="154"/>
    </row>
    <row r="82" s="72" customFormat="1" ht="14.25" spans="1:9">
      <c r="A82" s="90"/>
      <c r="B82" s="109" t="s">
        <v>169</v>
      </c>
      <c r="C82" s="145">
        <f t="shared" ref="C82:H82" si="17">SUM(C83:C129)</f>
        <v>0</v>
      </c>
      <c r="D82" s="145">
        <f t="shared" si="17"/>
        <v>326060.063346</v>
      </c>
      <c r="E82" s="145">
        <f t="shared" si="17"/>
        <v>326060.063346</v>
      </c>
      <c r="F82" s="145">
        <f t="shared" si="17"/>
        <v>0</v>
      </c>
      <c r="G82" s="145">
        <f t="shared" si="17"/>
        <v>-326060.063346</v>
      </c>
      <c r="H82" s="145">
        <f t="shared" si="17"/>
        <v>326060.063346</v>
      </c>
      <c r="I82" s="154"/>
    </row>
    <row r="83" s="72" customFormat="1" ht="14.25" spans="1:9">
      <c r="A83" s="94">
        <v>1</v>
      </c>
      <c r="B83" s="146" t="s">
        <v>243</v>
      </c>
      <c r="C83" s="147">
        <v>0</v>
      </c>
      <c r="D83" s="147">
        <f>E83+F83</f>
        <v>34749.99</v>
      </c>
      <c r="E83" s="147">
        <v>34749.99</v>
      </c>
      <c r="F83" s="147">
        <f>H83-E83</f>
        <v>0</v>
      </c>
      <c r="G83" s="147">
        <f>-H83</f>
        <v>-34749.99</v>
      </c>
      <c r="H83" s="147">
        <v>34749.99</v>
      </c>
      <c r="I83" s="154"/>
    </row>
    <row r="84" s="72" customFormat="1" ht="14.25" spans="1:9">
      <c r="A84" s="94">
        <v>2</v>
      </c>
      <c r="B84" s="146" t="s">
        <v>244</v>
      </c>
      <c r="C84" s="147">
        <v>0</v>
      </c>
      <c r="D84" s="147">
        <f t="shared" ref="D84:D119" si="18">E84+F84</f>
        <v>9740.28</v>
      </c>
      <c r="E84" s="147">
        <v>9740.28</v>
      </c>
      <c r="F84" s="147">
        <f t="shared" ref="F84:F119" si="19">H84-E84</f>
        <v>0</v>
      </c>
      <c r="G84" s="147">
        <f t="shared" ref="G84:G119" si="20">-H84</f>
        <v>-9740.28</v>
      </c>
      <c r="H84" s="147">
        <v>9740.28</v>
      </c>
      <c r="I84" s="154"/>
    </row>
    <row r="85" s="72" customFormat="1" ht="14.25" spans="1:9">
      <c r="A85" s="94">
        <v>3</v>
      </c>
      <c r="B85" s="146" t="s">
        <v>245</v>
      </c>
      <c r="C85" s="147">
        <v>0</v>
      </c>
      <c r="D85" s="147">
        <f t="shared" si="18"/>
        <v>4859.36</v>
      </c>
      <c r="E85" s="147">
        <v>4859.36</v>
      </c>
      <c r="F85" s="147">
        <f t="shared" si="19"/>
        <v>0</v>
      </c>
      <c r="G85" s="147">
        <f t="shared" si="20"/>
        <v>-4859.36</v>
      </c>
      <c r="H85" s="147">
        <v>4859.36</v>
      </c>
      <c r="I85" s="154"/>
    </row>
    <row r="86" s="72" customFormat="1" ht="14.25" spans="1:9">
      <c r="A86" s="94">
        <v>4</v>
      </c>
      <c r="B86" s="146" t="s">
        <v>246</v>
      </c>
      <c r="C86" s="147">
        <v>0</v>
      </c>
      <c r="D86" s="147">
        <f t="shared" si="18"/>
        <v>6200</v>
      </c>
      <c r="E86" s="147">
        <v>6200</v>
      </c>
      <c r="F86" s="147">
        <f t="shared" si="19"/>
        <v>0</v>
      </c>
      <c r="G86" s="147">
        <f t="shared" si="20"/>
        <v>-6200</v>
      </c>
      <c r="H86" s="147">
        <v>6200</v>
      </c>
      <c r="I86" s="154"/>
    </row>
    <row r="87" s="72" customFormat="1" ht="14.25" spans="1:9">
      <c r="A87" s="94">
        <v>5</v>
      </c>
      <c r="B87" s="146" t="s">
        <v>247</v>
      </c>
      <c r="C87" s="147">
        <v>0</v>
      </c>
      <c r="D87" s="147">
        <f t="shared" si="18"/>
        <v>68</v>
      </c>
      <c r="E87" s="147">
        <v>68</v>
      </c>
      <c r="F87" s="147">
        <f t="shared" si="19"/>
        <v>0</v>
      </c>
      <c r="G87" s="147">
        <f t="shared" si="20"/>
        <v>-68</v>
      </c>
      <c r="H87" s="147">
        <v>68</v>
      </c>
      <c r="I87" s="154"/>
    </row>
    <row r="88" s="72" customFormat="1" ht="14.25" spans="1:9">
      <c r="A88" s="94">
        <v>6</v>
      </c>
      <c r="B88" s="146" t="s">
        <v>248</v>
      </c>
      <c r="C88" s="147">
        <v>0</v>
      </c>
      <c r="D88" s="147">
        <f t="shared" si="18"/>
        <v>1907.4</v>
      </c>
      <c r="E88" s="147">
        <v>1907.4</v>
      </c>
      <c r="F88" s="147">
        <f t="shared" si="19"/>
        <v>0</v>
      </c>
      <c r="G88" s="147">
        <f t="shared" si="20"/>
        <v>-1907.4</v>
      </c>
      <c r="H88" s="147">
        <v>1907.4</v>
      </c>
      <c r="I88" s="154"/>
    </row>
    <row r="89" s="72" customFormat="1" ht="14.25" spans="1:9">
      <c r="A89" s="94">
        <v>7</v>
      </c>
      <c r="B89" s="146" t="s">
        <v>249</v>
      </c>
      <c r="C89" s="147">
        <v>0</v>
      </c>
      <c r="D89" s="147">
        <f t="shared" si="18"/>
        <v>1756.56</v>
      </c>
      <c r="E89" s="147">
        <v>1756.56</v>
      </c>
      <c r="F89" s="147">
        <f t="shared" si="19"/>
        <v>0</v>
      </c>
      <c r="G89" s="147">
        <f t="shared" si="20"/>
        <v>-1756.56</v>
      </c>
      <c r="H89" s="147">
        <v>1756.56</v>
      </c>
      <c r="I89" s="154"/>
    </row>
    <row r="90" s="72" customFormat="1" ht="14.25" spans="1:9">
      <c r="A90" s="94">
        <v>8</v>
      </c>
      <c r="B90" s="146" t="s">
        <v>250</v>
      </c>
      <c r="C90" s="147">
        <v>0</v>
      </c>
      <c r="D90" s="147">
        <f t="shared" si="18"/>
        <v>2029.12</v>
      </c>
      <c r="E90" s="147">
        <v>2029.12</v>
      </c>
      <c r="F90" s="147">
        <f t="shared" si="19"/>
        <v>0</v>
      </c>
      <c r="G90" s="147">
        <f t="shared" si="20"/>
        <v>-2029.12</v>
      </c>
      <c r="H90" s="147">
        <v>2029.12</v>
      </c>
      <c r="I90" s="154"/>
    </row>
    <row r="91" s="72" customFormat="1" ht="14.25" spans="1:9">
      <c r="A91" s="94">
        <v>9</v>
      </c>
      <c r="B91" s="146" t="s">
        <v>251</v>
      </c>
      <c r="C91" s="147">
        <v>0</v>
      </c>
      <c r="D91" s="147">
        <f t="shared" si="18"/>
        <v>1600</v>
      </c>
      <c r="E91" s="147">
        <v>1600</v>
      </c>
      <c r="F91" s="147">
        <f t="shared" si="19"/>
        <v>0</v>
      </c>
      <c r="G91" s="147">
        <f t="shared" si="20"/>
        <v>-1600</v>
      </c>
      <c r="H91" s="147">
        <v>1600</v>
      </c>
      <c r="I91" s="154"/>
    </row>
    <row r="92" s="72" customFormat="1" ht="14.25" spans="1:9">
      <c r="A92" s="94">
        <v>10</v>
      </c>
      <c r="B92" s="146" t="s">
        <v>252</v>
      </c>
      <c r="C92" s="147">
        <v>0</v>
      </c>
      <c r="D92" s="147">
        <f t="shared" si="18"/>
        <v>1172.16</v>
      </c>
      <c r="E92" s="147">
        <v>1172.16</v>
      </c>
      <c r="F92" s="147">
        <f t="shared" si="19"/>
        <v>0</v>
      </c>
      <c r="G92" s="147">
        <f t="shared" si="20"/>
        <v>-1172.16</v>
      </c>
      <c r="H92" s="147">
        <v>1172.16</v>
      </c>
      <c r="I92" s="154"/>
    </row>
    <row r="93" s="72" customFormat="1" ht="14.25" spans="1:9">
      <c r="A93" s="94">
        <v>11</v>
      </c>
      <c r="B93" s="146" t="s">
        <v>253</v>
      </c>
      <c r="C93" s="147">
        <v>0</v>
      </c>
      <c r="D93" s="147">
        <f t="shared" si="18"/>
        <v>907.34</v>
      </c>
      <c r="E93" s="147">
        <v>907.34</v>
      </c>
      <c r="F93" s="147">
        <f t="shared" si="19"/>
        <v>0</v>
      </c>
      <c r="G93" s="147">
        <f t="shared" si="20"/>
        <v>-907.34</v>
      </c>
      <c r="H93" s="147">
        <v>907.34</v>
      </c>
      <c r="I93" s="154"/>
    </row>
    <row r="94" s="72" customFormat="1" ht="14.25" spans="1:9">
      <c r="A94" s="94">
        <v>12</v>
      </c>
      <c r="B94" s="146" t="s">
        <v>254</v>
      </c>
      <c r="C94" s="147">
        <v>0</v>
      </c>
      <c r="D94" s="147">
        <f t="shared" si="18"/>
        <v>1111.37</v>
      </c>
      <c r="E94" s="147">
        <v>1111.37</v>
      </c>
      <c r="F94" s="147">
        <f t="shared" si="19"/>
        <v>0</v>
      </c>
      <c r="G94" s="147">
        <f t="shared" si="20"/>
        <v>-1111.37</v>
      </c>
      <c r="H94" s="147">
        <v>1111.37</v>
      </c>
      <c r="I94" s="154"/>
    </row>
    <row r="95" s="72" customFormat="1" ht="14.25" spans="1:9">
      <c r="A95" s="94">
        <v>13</v>
      </c>
      <c r="B95" s="146" t="s">
        <v>255</v>
      </c>
      <c r="C95" s="147">
        <v>0</v>
      </c>
      <c r="D95" s="147">
        <f t="shared" si="18"/>
        <v>723.3</v>
      </c>
      <c r="E95" s="147">
        <v>723.3</v>
      </c>
      <c r="F95" s="147">
        <f t="shared" si="19"/>
        <v>0</v>
      </c>
      <c r="G95" s="147">
        <f t="shared" si="20"/>
        <v>-723.3</v>
      </c>
      <c r="H95" s="147">
        <v>723.3</v>
      </c>
      <c r="I95" s="154"/>
    </row>
    <row r="96" s="72" customFormat="1" ht="14.25" spans="1:9">
      <c r="A96" s="94">
        <v>14</v>
      </c>
      <c r="B96" s="146" t="s">
        <v>256</v>
      </c>
      <c r="C96" s="147">
        <v>0</v>
      </c>
      <c r="D96" s="147">
        <f t="shared" si="18"/>
        <v>2787.43</v>
      </c>
      <c r="E96" s="147">
        <v>2787.43</v>
      </c>
      <c r="F96" s="147">
        <f t="shared" si="19"/>
        <v>0</v>
      </c>
      <c r="G96" s="147">
        <f t="shared" si="20"/>
        <v>-2787.43</v>
      </c>
      <c r="H96" s="147">
        <v>2787.43</v>
      </c>
      <c r="I96" s="154"/>
    </row>
    <row r="97" s="72" customFormat="1" ht="14.25" spans="1:9">
      <c r="A97" s="94">
        <v>15</v>
      </c>
      <c r="B97" s="146" t="s">
        <v>257</v>
      </c>
      <c r="C97" s="147">
        <v>0</v>
      </c>
      <c r="D97" s="147">
        <f t="shared" si="18"/>
        <v>180.48</v>
      </c>
      <c r="E97" s="147">
        <v>180.48</v>
      </c>
      <c r="F97" s="147">
        <f t="shared" si="19"/>
        <v>0</v>
      </c>
      <c r="G97" s="147">
        <f t="shared" si="20"/>
        <v>-180.48</v>
      </c>
      <c r="H97" s="147">
        <v>180.48</v>
      </c>
      <c r="I97" s="154"/>
    </row>
    <row r="98" s="72" customFormat="1" ht="14.25" spans="1:9">
      <c r="A98" s="94">
        <v>16</v>
      </c>
      <c r="B98" s="146" t="s">
        <v>258</v>
      </c>
      <c r="C98" s="147">
        <v>0</v>
      </c>
      <c r="D98" s="147">
        <f t="shared" si="18"/>
        <v>3291.29</v>
      </c>
      <c r="E98" s="147">
        <v>3291.29</v>
      </c>
      <c r="F98" s="147">
        <f t="shared" si="19"/>
        <v>0</v>
      </c>
      <c r="G98" s="147">
        <f t="shared" si="20"/>
        <v>-3291.29</v>
      </c>
      <c r="H98" s="147">
        <v>3291.29</v>
      </c>
      <c r="I98" s="154"/>
    </row>
    <row r="99" s="72" customFormat="1" ht="14.25" spans="1:9">
      <c r="A99" s="94">
        <v>17</v>
      </c>
      <c r="B99" s="146" t="s">
        <v>259</v>
      </c>
      <c r="C99" s="147">
        <v>0</v>
      </c>
      <c r="D99" s="147">
        <f t="shared" si="18"/>
        <v>920.78</v>
      </c>
      <c r="E99" s="147">
        <v>920.78</v>
      </c>
      <c r="F99" s="147">
        <f t="shared" si="19"/>
        <v>0</v>
      </c>
      <c r="G99" s="147">
        <f t="shared" si="20"/>
        <v>-920.78</v>
      </c>
      <c r="H99" s="147">
        <v>920.78</v>
      </c>
      <c r="I99" s="154"/>
    </row>
    <row r="100" s="72" customFormat="1" ht="14.25" spans="1:9">
      <c r="A100" s="94">
        <v>18</v>
      </c>
      <c r="B100" s="146" t="s">
        <v>260</v>
      </c>
      <c r="C100" s="147">
        <v>0</v>
      </c>
      <c r="D100" s="147">
        <f t="shared" si="18"/>
        <v>42934.09</v>
      </c>
      <c r="E100" s="147">
        <v>42934.09</v>
      </c>
      <c r="F100" s="147">
        <f t="shared" si="19"/>
        <v>0</v>
      </c>
      <c r="G100" s="147">
        <f t="shared" si="20"/>
        <v>-42934.09</v>
      </c>
      <c r="H100" s="147">
        <v>42934.09</v>
      </c>
      <c r="I100" s="154"/>
    </row>
    <row r="101" s="72" customFormat="1" ht="14.25" spans="1:9">
      <c r="A101" s="94">
        <v>19</v>
      </c>
      <c r="B101" s="146" t="s">
        <v>261</v>
      </c>
      <c r="C101" s="147">
        <v>0</v>
      </c>
      <c r="D101" s="147">
        <f t="shared" si="18"/>
        <v>5212.18</v>
      </c>
      <c r="E101" s="147">
        <v>5212.18</v>
      </c>
      <c r="F101" s="147">
        <f t="shared" si="19"/>
        <v>0</v>
      </c>
      <c r="G101" s="147">
        <f t="shared" si="20"/>
        <v>-5212.18</v>
      </c>
      <c r="H101" s="147">
        <v>5212.18</v>
      </c>
      <c r="I101" s="154"/>
    </row>
    <row r="102" s="72" customFormat="1" ht="14.25" spans="1:9">
      <c r="A102" s="94">
        <v>20</v>
      </c>
      <c r="B102" s="146" t="s">
        <v>262</v>
      </c>
      <c r="C102" s="147">
        <v>0</v>
      </c>
      <c r="D102" s="147">
        <f t="shared" si="18"/>
        <v>2000</v>
      </c>
      <c r="E102" s="147">
        <v>2000</v>
      </c>
      <c r="F102" s="147">
        <f t="shared" si="19"/>
        <v>0</v>
      </c>
      <c r="G102" s="147">
        <f t="shared" si="20"/>
        <v>-2000</v>
      </c>
      <c r="H102" s="147">
        <v>2000</v>
      </c>
      <c r="I102" s="154"/>
    </row>
    <row r="103" s="72" customFormat="1" ht="14.25" spans="1:9">
      <c r="A103" s="94">
        <v>21</v>
      </c>
      <c r="B103" s="146" t="s">
        <v>263</v>
      </c>
      <c r="C103" s="147">
        <v>0</v>
      </c>
      <c r="D103" s="147">
        <f t="shared" si="18"/>
        <v>5337.81</v>
      </c>
      <c r="E103" s="147">
        <v>5337.81</v>
      </c>
      <c r="F103" s="147">
        <f t="shared" si="19"/>
        <v>0</v>
      </c>
      <c r="G103" s="147">
        <f t="shared" si="20"/>
        <v>-5337.81</v>
      </c>
      <c r="H103" s="147">
        <v>5337.81</v>
      </c>
      <c r="I103" s="154"/>
    </row>
    <row r="104" s="72" customFormat="1" ht="14.25" spans="1:9">
      <c r="A104" s="94">
        <v>22</v>
      </c>
      <c r="B104" s="146" t="s">
        <v>260</v>
      </c>
      <c r="C104" s="147">
        <v>0</v>
      </c>
      <c r="D104" s="147">
        <f t="shared" si="18"/>
        <v>99171.77</v>
      </c>
      <c r="E104" s="147">
        <v>99171.77</v>
      </c>
      <c r="F104" s="147">
        <f t="shared" si="19"/>
        <v>0</v>
      </c>
      <c r="G104" s="147">
        <f t="shared" si="20"/>
        <v>-99171.77</v>
      </c>
      <c r="H104" s="147">
        <v>99171.77</v>
      </c>
      <c r="I104" s="154"/>
    </row>
    <row r="105" s="72" customFormat="1" ht="14.25" spans="1:9">
      <c r="A105" s="94">
        <v>23</v>
      </c>
      <c r="B105" s="146" t="s">
        <v>264</v>
      </c>
      <c r="C105" s="147">
        <v>0</v>
      </c>
      <c r="D105" s="147">
        <f t="shared" si="18"/>
        <v>20081.398346</v>
      </c>
      <c r="E105" s="147">
        <v>20081.398346</v>
      </c>
      <c r="F105" s="147">
        <f t="shared" si="19"/>
        <v>0</v>
      </c>
      <c r="G105" s="147">
        <f t="shared" si="20"/>
        <v>-20081.398346</v>
      </c>
      <c r="H105" s="147">
        <v>20081.398346</v>
      </c>
      <c r="I105" s="154"/>
    </row>
    <row r="106" s="72" customFormat="1" ht="14.25" spans="1:9">
      <c r="A106" s="94">
        <v>24</v>
      </c>
      <c r="B106" s="146" t="s">
        <v>263</v>
      </c>
      <c r="C106" s="147">
        <v>0</v>
      </c>
      <c r="D106" s="147">
        <f t="shared" si="18"/>
        <v>17770.983</v>
      </c>
      <c r="E106" s="147">
        <v>17770.983</v>
      </c>
      <c r="F106" s="147">
        <f t="shared" si="19"/>
        <v>0</v>
      </c>
      <c r="G106" s="147">
        <f t="shared" si="20"/>
        <v>-17770.983</v>
      </c>
      <c r="H106" s="147">
        <v>17770.983</v>
      </c>
      <c r="I106" s="154"/>
    </row>
    <row r="107" s="72" customFormat="1" ht="14.25" spans="1:9">
      <c r="A107" s="94">
        <v>25</v>
      </c>
      <c r="B107" s="146" t="s">
        <v>265</v>
      </c>
      <c r="C107" s="147">
        <v>0</v>
      </c>
      <c r="D107" s="147">
        <f t="shared" si="18"/>
        <v>7000</v>
      </c>
      <c r="E107" s="147">
        <v>7000</v>
      </c>
      <c r="F107" s="147">
        <f t="shared" si="19"/>
        <v>0</v>
      </c>
      <c r="G107" s="147">
        <f t="shared" si="20"/>
        <v>-7000</v>
      </c>
      <c r="H107" s="147">
        <v>7000</v>
      </c>
      <c r="I107" s="154"/>
    </row>
    <row r="108" s="72" customFormat="1" ht="14.25" spans="1:9">
      <c r="A108" s="94">
        <v>26</v>
      </c>
      <c r="B108" s="146" t="s">
        <v>266</v>
      </c>
      <c r="C108" s="147">
        <v>0</v>
      </c>
      <c r="D108" s="147">
        <f t="shared" si="18"/>
        <v>5000</v>
      </c>
      <c r="E108" s="147">
        <v>5000</v>
      </c>
      <c r="F108" s="147">
        <f t="shared" si="19"/>
        <v>0</v>
      </c>
      <c r="G108" s="147">
        <f t="shared" si="20"/>
        <v>-5000</v>
      </c>
      <c r="H108" s="147">
        <v>5000</v>
      </c>
      <c r="I108" s="154"/>
    </row>
    <row r="109" s="72" customFormat="1" ht="14.25" spans="1:9">
      <c r="A109" s="94">
        <v>27</v>
      </c>
      <c r="B109" s="146" t="s">
        <v>267</v>
      </c>
      <c r="C109" s="147">
        <v>0</v>
      </c>
      <c r="D109" s="147">
        <f t="shared" si="18"/>
        <v>4577.484</v>
      </c>
      <c r="E109" s="147">
        <v>4577.484</v>
      </c>
      <c r="F109" s="147">
        <f t="shared" si="19"/>
        <v>0</v>
      </c>
      <c r="G109" s="147">
        <f t="shared" si="20"/>
        <v>-4577.484</v>
      </c>
      <c r="H109" s="147">
        <v>4577.484</v>
      </c>
      <c r="I109" s="154"/>
    </row>
    <row r="110" s="72" customFormat="1" ht="14.25" spans="1:9">
      <c r="A110" s="94">
        <v>28</v>
      </c>
      <c r="B110" s="146" t="s">
        <v>268</v>
      </c>
      <c r="C110" s="147">
        <v>0</v>
      </c>
      <c r="D110" s="147">
        <f t="shared" si="18"/>
        <v>3700</v>
      </c>
      <c r="E110" s="147">
        <v>3700</v>
      </c>
      <c r="F110" s="147">
        <f t="shared" si="19"/>
        <v>0</v>
      </c>
      <c r="G110" s="147">
        <f t="shared" si="20"/>
        <v>-3700</v>
      </c>
      <c r="H110" s="147">
        <v>3700</v>
      </c>
      <c r="I110" s="154"/>
    </row>
    <row r="111" s="72" customFormat="1" ht="14.25" spans="1:9">
      <c r="A111" s="94">
        <v>29</v>
      </c>
      <c r="B111" s="111" t="s">
        <v>262</v>
      </c>
      <c r="C111" s="147">
        <v>0</v>
      </c>
      <c r="D111" s="147">
        <f t="shared" si="18"/>
        <v>3410.6</v>
      </c>
      <c r="E111" s="147">
        <v>3410.6</v>
      </c>
      <c r="F111" s="147">
        <f t="shared" si="19"/>
        <v>0</v>
      </c>
      <c r="G111" s="147">
        <f t="shared" si="20"/>
        <v>-3410.6</v>
      </c>
      <c r="H111" s="147">
        <v>3410.6</v>
      </c>
      <c r="I111" s="154"/>
    </row>
    <row r="112" ht="14.25" spans="1:9">
      <c r="A112" s="94">
        <v>30</v>
      </c>
      <c r="B112" s="112" t="s">
        <v>269</v>
      </c>
      <c r="C112" s="151">
        <v>0</v>
      </c>
      <c r="D112" s="147">
        <f t="shared" si="18"/>
        <v>3300</v>
      </c>
      <c r="E112" s="151">
        <v>3300</v>
      </c>
      <c r="F112" s="147">
        <f t="shared" si="19"/>
        <v>0</v>
      </c>
      <c r="G112" s="147">
        <f t="shared" si="20"/>
        <v>-3300</v>
      </c>
      <c r="H112" s="151">
        <v>3300</v>
      </c>
      <c r="I112" s="155"/>
    </row>
    <row r="113" ht="14.25" spans="1:9">
      <c r="A113" s="94">
        <v>31</v>
      </c>
      <c r="B113" s="112" t="s">
        <v>270</v>
      </c>
      <c r="C113" s="151">
        <v>0</v>
      </c>
      <c r="D113" s="147">
        <f t="shared" si="18"/>
        <v>1641.819</v>
      </c>
      <c r="E113" s="151">
        <v>1641.819</v>
      </c>
      <c r="F113" s="147">
        <f t="shared" si="19"/>
        <v>0</v>
      </c>
      <c r="G113" s="147">
        <f t="shared" si="20"/>
        <v>-1641.819</v>
      </c>
      <c r="H113" s="151">
        <v>1641.819</v>
      </c>
      <c r="I113" s="155"/>
    </row>
    <row r="114" ht="14.25" spans="1:9">
      <c r="A114" s="94">
        <v>32</v>
      </c>
      <c r="B114" s="112" t="s">
        <v>271</v>
      </c>
      <c r="C114" s="151">
        <v>0</v>
      </c>
      <c r="D114" s="147">
        <f t="shared" si="18"/>
        <v>1440.5614</v>
      </c>
      <c r="E114" s="151">
        <v>1440.5614</v>
      </c>
      <c r="F114" s="147">
        <f t="shared" si="19"/>
        <v>0</v>
      </c>
      <c r="G114" s="147">
        <f t="shared" si="20"/>
        <v>-1440.5614</v>
      </c>
      <c r="H114" s="152">
        <v>1440.5614</v>
      </c>
      <c r="I114" s="155"/>
    </row>
    <row r="115" ht="14.25" spans="1:9">
      <c r="A115" s="94">
        <v>33</v>
      </c>
      <c r="B115" s="112" t="s">
        <v>272</v>
      </c>
      <c r="C115" s="151">
        <v>0</v>
      </c>
      <c r="D115" s="147">
        <f t="shared" si="18"/>
        <v>1200</v>
      </c>
      <c r="E115" s="151">
        <v>1200</v>
      </c>
      <c r="F115" s="147">
        <f t="shared" si="19"/>
        <v>0</v>
      </c>
      <c r="G115" s="147">
        <f t="shared" si="20"/>
        <v>-1200</v>
      </c>
      <c r="H115" s="152">
        <v>1200</v>
      </c>
      <c r="I115" s="155"/>
    </row>
    <row r="116" ht="14.25" spans="1:9">
      <c r="A116" s="94">
        <v>34</v>
      </c>
      <c r="B116" s="112" t="s">
        <v>273</v>
      </c>
      <c r="C116" s="151">
        <v>0</v>
      </c>
      <c r="D116" s="147">
        <f t="shared" si="18"/>
        <v>1189.7194</v>
      </c>
      <c r="E116" s="151">
        <v>1189.7194</v>
      </c>
      <c r="F116" s="147">
        <f t="shared" si="19"/>
        <v>0</v>
      </c>
      <c r="G116" s="147">
        <f t="shared" si="20"/>
        <v>-1189.7194</v>
      </c>
      <c r="H116" s="152">
        <v>1189.7194</v>
      </c>
      <c r="I116" s="155"/>
    </row>
    <row r="117" ht="14.25" spans="1:9">
      <c r="A117" s="94">
        <v>35</v>
      </c>
      <c r="B117" s="112" t="s">
        <v>274</v>
      </c>
      <c r="C117" s="151">
        <v>0</v>
      </c>
      <c r="D117" s="147">
        <f t="shared" si="18"/>
        <v>1032.6211</v>
      </c>
      <c r="E117" s="151">
        <v>1032.6211</v>
      </c>
      <c r="F117" s="147">
        <f t="shared" si="19"/>
        <v>0</v>
      </c>
      <c r="G117" s="147">
        <f t="shared" si="20"/>
        <v>-1032.6211</v>
      </c>
      <c r="H117" s="152">
        <v>1032.6211</v>
      </c>
      <c r="I117" s="155"/>
    </row>
    <row r="118" ht="14.25" spans="1:9">
      <c r="A118" s="94">
        <v>36</v>
      </c>
      <c r="B118" s="112" t="s">
        <v>261</v>
      </c>
      <c r="C118" s="151">
        <v>0</v>
      </c>
      <c r="D118" s="147">
        <f t="shared" si="18"/>
        <v>1000</v>
      </c>
      <c r="E118" s="151">
        <v>1000</v>
      </c>
      <c r="F118" s="147">
        <f t="shared" si="19"/>
        <v>0</v>
      </c>
      <c r="G118" s="147">
        <f t="shared" si="20"/>
        <v>-1000</v>
      </c>
      <c r="H118" s="151">
        <v>1000</v>
      </c>
      <c r="I118" s="155"/>
    </row>
    <row r="119" ht="14.25" spans="1:9">
      <c r="A119" s="94">
        <v>37</v>
      </c>
      <c r="B119" s="112" t="s">
        <v>275</v>
      </c>
      <c r="C119" s="151">
        <v>0</v>
      </c>
      <c r="D119" s="147">
        <f t="shared" si="18"/>
        <v>6500</v>
      </c>
      <c r="E119" s="147">
        <v>6500</v>
      </c>
      <c r="F119" s="147">
        <f t="shared" ref="F119:F128" si="21">H119-E119</f>
        <v>0</v>
      </c>
      <c r="G119" s="147">
        <f t="shared" si="20"/>
        <v>-6500</v>
      </c>
      <c r="H119" s="147">
        <v>6500</v>
      </c>
      <c r="I119" s="155"/>
    </row>
    <row r="120" s="14" customFormat="1" ht="14.25" spans="1:9">
      <c r="A120" s="94">
        <v>38</v>
      </c>
      <c r="B120" s="112" t="s">
        <v>276</v>
      </c>
      <c r="C120" s="151">
        <v>0</v>
      </c>
      <c r="D120" s="147">
        <f t="shared" ref="D120:D128" si="22">E120+F120</f>
        <v>3022.1671</v>
      </c>
      <c r="E120" s="147">
        <v>3022.1671</v>
      </c>
      <c r="F120" s="147">
        <f t="shared" si="21"/>
        <v>0</v>
      </c>
      <c r="G120" s="147">
        <f t="shared" ref="G120:G128" si="23">-H120</f>
        <v>-3022.1671</v>
      </c>
      <c r="H120" s="147">
        <v>3022.1671</v>
      </c>
      <c r="I120" s="155"/>
    </row>
    <row r="121" s="14" customFormat="1" ht="14.25" spans="1:9">
      <c r="A121" s="94">
        <v>39</v>
      </c>
      <c r="B121" s="112" t="s">
        <v>277</v>
      </c>
      <c r="C121" s="151">
        <v>0</v>
      </c>
      <c r="D121" s="147">
        <f t="shared" si="22"/>
        <v>3300</v>
      </c>
      <c r="E121" s="147">
        <v>3300</v>
      </c>
      <c r="F121" s="147">
        <f t="shared" si="21"/>
        <v>0</v>
      </c>
      <c r="G121" s="147">
        <f t="shared" si="23"/>
        <v>-3300</v>
      </c>
      <c r="H121" s="147">
        <v>3300</v>
      </c>
      <c r="I121" s="155"/>
    </row>
    <row r="122" s="14" customFormat="1" ht="14.25" spans="1:9">
      <c r="A122" s="94">
        <v>40</v>
      </c>
      <c r="B122" s="112" t="s">
        <v>278</v>
      </c>
      <c r="C122" s="151">
        <v>0</v>
      </c>
      <c r="D122" s="147">
        <f t="shared" si="22"/>
        <v>700</v>
      </c>
      <c r="E122" s="147">
        <v>700</v>
      </c>
      <c r="F122" s="147">
        <f t="shared" si="21"/>
        <v>0</v>
      </c>
      <c r="G122" s="147">
        <f t="shared" si="23"/>
        <v>-700</v>
      </c>
      <c r="H122" s="147">
        <v>700</v>
      </c>
      <c r="I122" s="155"/>
    </row>
    <row r="123" s="14" customFormat="1" ht="14.25" spans="1:9">
      <c r="A123" s="94">
        <v>41</v>
      </c>
      <c r="B123" s="112" t="s">
        <v>279</v>
      </c>
      <c r="C123" s="151">
        <v>0</v>
      </c>
      <c r="D123" s="147">
        <f t="shared" si="22"/>
        <v>4000</v>
      </c>
      <c r="E123" s="147">
        <v>4000</v>
      </c>
      <c r="F123" s="147">
        <f t="shared" si="21"/>
        <v>0</v>
      </c>
      <c r="G123" s="147">
        <f t="shared" si="23"/>
        <v>-4000</v>
      </c>
      <c r="H123" s="147">
        <v>4000</v>
      </c>
      <c r="I123" s="155"/>
    </row>
    <row r="124" s="14" customFormat="1" ht="14.25" spans="1:9">
      <c r="A124" s="94">
        <v>42</v>
      </c>
      <c r="B124" s="112" t="s">
        <v>280</v>
      </c>
      <c r="C124" s="151">
        <v>0</v>
      </c>
      <c r="D124" s="147">
        <f t="shared" si="22"/>
        <v>3532</v>
      </c>
      <c r="E124" s="147">
        <v>3532</v>
      </c>
      <c r="F124" s="147">
        <f t="shared" si="21"/>
        <v>0</v>
      </c>
      <c r="G124" s="147">
        <f t="shared" si="23"/>
        <v>-3532</v>
      </c>
      <c r="H124" s="147">
        <v>3532</v>
      </c>
      <c r="I124" s="155"/>
    </row>
    <row r="125" s="14" customFormat="1" ht="14.25" spans="1:9">
      <c r="A125" s="94">
        <v>43</v>
      </c>
      <c r="B125" s="112" t="s">
        <v>281</v>
      </c>
      <c r="C125" s="151">
        <v>0</v>
      </c>
      <c r="D125" s="147">
        <f t="shared" si="22"/>
        <v>1000</v>
      </c>
      <c r="E125" s="147">
        <v>1000</v>
      </c>
      <c r="F125" s="147">
        <f t="shared" si="21"/>
        <v>0</v>
      </c>
      <c r="G125" s="147">
        <f t="shared" si="23"/>
        <v>-1000</v>
      </c>
      <c r="H125" s="147">
        <v>1000</v>
      </c>
      <c r="I125" s="155"/>
    </row>
    <row r="126" s="14" customFormat="1" ht="14.25" spans="1:9">
      <c r="A126" s="94">
        <v>44</v>
      </c>
      <c r="B126" s="112" t="s">
        <v>282</v>
      </c>
      <c r="C126" s="151">
        <v>0</v>
      </c>
      <c r="D126" s="147">
        <f t="shared" si="22"/>
        <v>1000</v>
      </c>
      <c r="E126" s="147">
        <v>1000</v>
      </c>
      <c r="F126" s="147">
        <f t="shared" si="21"/>
        <v>0</v>
      </c>
      <c r="G126" s="147">
        <f t="shared" si="23"/>
        <v>-1000</v>
      </c>
      <c r="H126" s="147">
        <v>1000</v>
      </c>
      <c r="I126" s="155"/>
    </row>
    <row r="127" s="14" customFormat="1" ht="14.25" spans="1:9">
      <c r="A127" s="94">
        <v>45</v>
      </c>
      <c r="B127" s="112" t="s">
        <v>283</v>
      </c>
      <c r="C127" s="151">
        <v>0</v>
      </c>
      <c r="D127" s="147">
        <f t="shared" si="22"/>
        <v>1500</v>
      </c>
      <c r="E127" s="147">
        <v>1500</v>
      </c>
      <c r="F127" s="147">
        <f t="shared" si="21"/>
        <v>0</v>
      </c>
      <c r="G127" s="147">
        <f t="shared" si="23"/>
        <v>-1500</v>
      </c>
      <c r="H127" s="147">
        <v>1500</v>
      </c>
      <c r="I127" s="155"/>
    </row>
    <row r="128" s="14" customFormat="1" ht="14.25" spans="1:9">
      <c r="A128" s="94">
        <v>46</v>
      </c>
      <c r="B128" s="112" t="s">
        <v>284</v>
      </c>
      <c r="C128" s="151">
        <v>0</v>
      </c>
      <c r="D128" s="147">
        <f t="shared" si="22"/>
        <v>500</v>
      </c>
      <c r="E128" s="147">
        <v>500</v>
      </c>
      <c r="F128" s="147">
        <f t="shared" si="21"/>
        <v>0</v>
      </c>
      <c r="G128" s="147">
        <f t="shared" si="23"/>
        <v>-500</v>
      </c>
      <c r="H128" s="147">
        <v>500</v>
      </c>
      <c r="I128" s="155"/>
    </row>
    <row r="129" s="14" customFormat="1" ht="14.25" spans="1:9">
      <c r="A129" s="94"/>
      <c r="B129" s="112"/>
      <c r="C129" s="151"/>
      <c r="D129" s="147"/>
      <c r="E129" s="147"/>
      <c r="F129" s="147"/>
      <c r="G129" s="147"/>
      <c r="H129" s="147"/>
      <c r="I129" s="155"/>
    </row>
    <row r="130" s="71" customFormat="1" ht="14.25" spans="1:9">
      <c r="A130" s="156"/>
      <c r="B130" s="93" t="s">
        <v>285</v>
      </c>
      <c r="C130" s="145">
        <f t="shared" ref="C130:H130" si="24">SUM(C131:C178)</f>
        <v>9000</v>
      </c>
      <c r="D130" s="145">
        <f t="shared" si="24"/>
        <v>112709.62137</v>
      </c>
      <c r="E130" s="145">
        <f t="shared" si="24"/>
        <v>79887.85219</v>
      </c>
      <c r="F130" s="145">
        <f t="shared" si="24"/>
        <v>32821.76918</v>
      </c>
      <c r="G130" s="145">
        <f t="shared" si="24"/>
        <v>-103709.62137</v>
      </c>
      <c r="H130" s="145">
        <f t="shared" si="24"/>
        <v>103709.62137</v>
      </c>
      <c r="I130" s="112"/>
    </row>
    <row r="131" s="134" customFormat="1" ht="14.25" spans="1:12">
      <c r="A131" s="157">
        <v>1</v>
      </c>
      <c r="B131" s="112" t="s">
        <v>286</v>
      </c>
      <c r="C131" s="158"/>
      <c r="D131" s="159">
        <f t="shared" ref="D131:D178" si="25">E131+F131</f>
        <v>1249.78</v>
      </c>
      <c r="E131" s="158"/>
      <c r="F131" s="160">
        <v>1249.78</v>
      </c>
      <c r="G131" s="159">
        <f t="shared" ref="G131:G178" si="26">C131-D131</f>
        <v>-1249.78</v>
      </c>
      <c r="H131" s="159">
        <f t="shared" ref="H131:H166" si="27">-G131</f>
        <v>1249.78</v>
      </c>
      <c r="I131" s="162"/>
      <c r="J131" s="163"/>
      <c r="L131" s="164"/>
    </row>
    <row r="132" s="134" customFormat="1" ht="14.25" spans="1:12">
      <c r="A132" s="157">
        <v>2</v>
      </c>
      <c r="B132" s="112" t="s">
        <v>223</v>
      </c>
      <c r="C132" s="158">
        <v>0</v>
      </c>
      <c r="D132" s="159">
        <f t="shared" si="25"/>
        <v>1629.99</v>
      </c>
      <c r="E132" s="158"/>
      <c r="F132" s="161">
        <v>1629.99</v>
      </c>
      <c r="G132" s="159">
        <f t="shared" si="26"/>
        <v>-1629.99</v>
      </c>
      <c r="H132" s="159">
        <f t="shared" si="27"/>
        <v>1629.99</v>
      </c>
      <c r="I132" s="162"/>
      <c r="J132" s="163"/>
      <c r="L132" s="164">
        <v>43970</v>
      </c>
    </row>
    <row r="133" s="134" customFormat="1" ht="14.25" spans="1:12">
      <c r="A133" s="157">
        <v>3</v>
      </c>
      <c r="B133" s="112" t="s">
        <v>287</v>
      </c>
      <c r="C133" s="158">
        <v>0</v>
      </c>
      <c r="D133" s="159">
        <f t="shared" si="25"/>
        <v>817.6</v>
      </c>
      <c r="E133" s="158"/>
      <c r="F133" s="161">
        <v>817.6</v>
      </c>
      <c r="G133" s="159">
        <f t="shared" si="26"/>
        <v>-817.6</v>
      </c>
      <c r="H133" s="159">
        <f t="shared" si="27"/>
        <v>817.6</v>
      </c>
      <c r="I133" s="162"/>
      <c r="J133" s="163"/>
      <c r="L133" s="164"/>
    </row>
    <row r="134" s="134" customFormat="1" ht="14.25" spans="1:12">
      <c r="A134" s="157">
        <v>4</v>
      </c>
      <c r="B134" s="112" t="s">
        <v>288</v>
      </c>
      <c r="C134" s="158">
        <v>0</v>
      </c>
      <c r="D134" s="159">
        <f t="shared" si="25"/>
        <v>1500</v>
      </c>
      <c r="E134" s="158"/>
      <c r="F134" s="161">
        <v>1500</v>
      </c>
      <c r="G134" s="159">
        <f t="shared" si="26"/>
        <v>-1500</v>
      </c>
      <c r="H134" s="159">
        <f t="shared" si="27"/>
        <v>1500</v>
      </c>
      <c r="I134" s="162"/>
      <c r="J134" s="163"/>
      <c r="L134" s="164"/>
    </row>
    <row r="135" s="134" customFormat="1" ht="14.25" spans="1:12">
      <c r="A135" s="157">
        <v>5</v>
      </c>
      <c r="B135" s="112" t="s">
        <v>289</v>
      </c>
      <c r="C135" s="158">
        <v>0</v>
      </c>
      <c r="D135" s="159">
        <f t="shared" si="25"/>
        <v>200</v>
      </c>
      <c r="E135" s="158"/>
      <c r="F135" s="161">
        <v>200</v>
      </c>
      <c r="G135" s="159">
        <f t="shared" si="26"/>
        <v>-200</v>
      </c>
      <c r="H135" s="159">
        <f t="shared" si="27"/>
        <v>200</v>
      </c>
      <c r="I135" s="162"/>
      <c r="J135" s="163"/>
      <c r="L135" s="164"/>
    </row>
    <row r="136" s="134" customFormat="1" ht="14.25" spans="1:12">
      <c r="A136" s="157">
        <v>6</v>
      </c>
      <c r="B136" s="112" t="s">
        <v>290</v>
      </c>
      <c r="C136" s="158">
        <v>0</v>
      </c>
      <c r="D136" s="159">
        <f t="shared" si="25"/>
        <v>841.57154</v>
      </c>
      <c r="E136" s="161">
        <v>841.57154</v>
      </c>
      <c r="F136" s="158"/>
      <c r="G136" s="159">
        <f t="shared" si="26"/>
        <v>-841.57154</v>
      </c>
      <c r="H136" s="159">
        <f t="shared" si="27"/>
        <v>841.57154</v>
      </c>
      <c r="I136" s="162"/>
      <c r="J136" s="163"/>
      <c r="L136" s="164"/>
    </row>
    <row r="137" s="134" customFormat="1" ht="14.25" spans="1:12">
      <c r="A137" s="157">
        <v>7</v>
      </c>
      <c r="B137" s="112" t="s">
        <v>291</v>
      </c>
      <c r="C137" s="158">
        <v>0</v>
      </c>
      <c r="D137" s="159">
        <f t="shared" si="25"/>
        <v>19362</v>
      </c>
      <c r="E137" s="161">
        <v>19362</v>
      </c>
      <c r="F137" s="158"/>
      <c r="G137" s="159">
        <f t="shared" si="26"/>
        <v>-19362</v>
      </c>
      <c r="H137" s="159">
        <f t="shared" si="27"/>
        <v>19362</v>
      </c>
      <c r="I137" s="162"/>
      <c r="J137" s="163"/>
      <c r="L137" s="164"/>
    </row>
    <row r="138" s="134" customFormat="1" ht="14.25" spans="1:12">
      <c r="A138" s="157">
        <v>8</v>
      </c>
      <c r="B138" s="112" t="s">
        <v>292</v>
      </c>
      <c r="C138" s="158">
        <v>0</v>
      </c>
      <c r="D138" s="159">
        <f t="shared" si="25"/>
        <v>1811.772642</v>
      </c>
      <c r="E138" s="161">
        <v>1811.772642</v>
      </c>
      <c r="F138" s="158"/>
      <c r="G138" s="159">
        <f t="shared" si="26"/>
        <v>-1811.772642</v>
      </c>
      <c r="H138" s="159">
        <f t="shared" si="27"/>
        <v>1811.772642</v>
      </c>
      <c r="I138" s="162"/>
      <c r="J138" s="163"/>
      <c r="L138" s="164"/>
    </row>
    <row r="139" s="134" customFormat="1" ht="14.25" spans="1:12">
      <c r="A139" s="157">
        <v>9</v>
      </c>
      <c r="B139" s="112" t="s">
        <v>293</v>
      </c>
      <c r="C139" s="158">
        <v>0</v>
      </c>
      <c r="D139" s="159">
        <f t="shared" si="25"/>
        <v>1236.138</v>
      </c>
      <c r="E139" s="161">
        <v>1236.138</v>
      </c>
      <c r="F139" s="158"/>
      <c r="G139" s="159">
        <f t="shared" si="26"/>
        <v>-1236.138</v>
      </c>
      <c r="H139" s="159">
        <f t="shared" si="27"/>
        <v>1236.138</v>
      </c>
      <c r="I139" s="162"/>
      <c r="J139" s="163"/>
      <c r="L139" s="164"/>
    </row>
    <row r="140" s="134" customFormat="1" ht="14.25" spans="1:12">
      <c r="A140" s="157">
        <v>10</v>
      </c>
      <c r="B140" s="112" t="s">
        <v>294</v>
      </c>
      <c r="C140" s="158">
        <v>0</v>
      </c>
      <c r="D140" s="159">
        <f t="shared" si="25"/>
        <v>971.757</v>
      </c>
      <c r="E140" s="161">
        <v>971.757</v>
      </c>
      <c r="F140" s="158"/>
      <c r="G140" s="159">
        <f t="shared" si="26"/>
        <v>-971.757</v>
      </c>
      <c r="H140" s="159">
        <f t="shared" si="27"/>
        <v>971.757</v>
      </c>
      <c r="I140" s="162"/>
      <c r="J140" s="163"/>
      <c r="L140" s="164"/>
    </row>
    <row r="141" s="134" customFormat="1" ht="14.25" spans="1:12">
      <c r="A141" s="157">
        <v>11</v>
      </c>
      <c r="B141" s="112" t="s">
        <v>295</v>
      </c>
      <c r="C141" s="158">
        <v>0</v>
      </c>
      <c r="D141" s="159">
        <f t="shared" si="25"/>
        <v>913.482561</v>
      </c>
      <c r="E141" s="161">
        <v>913.482561</v>
      </c>
      <c r="F141" s="158"/>
      <c r="G141" s="159">
        <f t="shared" si="26"/>
        <v>-913.482561</v>
      </c>
      <c r="H141" s="159">
        <f t="shared" si="27"/>
        <v>913.482561</v>
      </c>
      <c r="I141" s="162"/>
      <c r="J141" s="163"/>
      <c r="L141" s="164"/>
    </row>
    <row r="142" s="134" customFormat="1" ht="14.25" spans="1:12">
      <c r="A142" s="157">
        <v>12</v>
      </c>
      <c r="B142" s="112" t="s">
        <v>296</v>
      </c>
      <c r="C142" s="158">
        <v>0</v>
      </c>
      <c r="D142" s="159">
        <f t="shared" si="25"/>
        <v>1374.391472</v>
      </c>
      <c r="E142" s="161">
        <v>1374.391472</v>
      </c>
      <c r="F142" s="158"/>
      <c r="G142" s="159">
        <f t="shared" si="26"/>
        <v>-1374.391472</v>
      </c>
      <c r="H142" s="159">
        <f t="shared" si="27"/>
        <v>1374.391472</v>
      </c>
      <c r="I142" s="162"/>
      <c r="J142" s="163"/>
      <c r="L142" s="164"/>
    </row>
    <row r="143" s="134" customFormat="1" ht="14.25" spans="1:12">
      <c r="A143" s="157">
        <v>13</v>
      </c>
      <c r="B143" s="112" t="s">
        <v>297</v>
      </c>
      <c r="C143" s="158">
        <v>0</v>
      </c>
      <c r="D143" s="159">
        <f t="shared" si="25"/>
        <v>774.1</v>
      </c>
      <c r="E143" s="161">
        <v>774.1</v>
      </c>
      <c r="F143" s="158"/>
      <c r="G143" s="159">
        <f t="shared" si="26"/>
        <v>-774.1</v>
      </c>
      <c r="H143" s="159">
        <f t="shared" si="27"/>
        <v>774.1</v>
      </c>
      <c r="I143" s="162"/>
      <c r="J143" s="163"/>
      <c r="L143" s="164"/>
    </row>
    <row r="144" s="134" customFormat="1" ht="14.25" spans="1:12">
      <c r="A144" s="157">
        <v>14</v>
      </c>
      <c r="B144" s="112" t="s">
        <v>298</v>
      </c>
      <c r="C144" s="158">
        <v>0</v>
      </c>
      <c r="D144" s="159">
        <f t="shared" si="25"/>
        <v>2360</v>
      </c>
      <c r="E144" s="161">
        <v>2360</v>
      </c>
      <c r="F144" s="158"/>
      <c r="G144" s="159">
        <f t="shared" si="26"/>
        <v>-2360</v>
      </c>
      <c r="H144" s="159">
        <f t="shared" si="27"/>
        <v>2360</v>
      </c>
      <c r="I144" s="162"/>
      <c r="J144" s="163"/>
      <c r="L144" s="164"/>
    </row>
    <row r="145" s="134" customFormat="1" ht="14.25" spans="1:12">
      <c r="A145" s="157">
        <v>15</v>
      </c>
      <c r="B145" s="112" t="s">
        <v>299</v>
      </c>
      <c r="C145" s="158">
        <v>0</v>
      </c>
      <c r="D145" s="159">
        <f t="shared" si="25"/>
        <v>1718.23851</v>
      </c>
      <c r="E145" s="161">
        <f>984.77391+733.4646</f>
        <v>1718.23851</v>
      </c>
      <c r="F145" s="158"/>
      <c r="G145" s="159">
        <f t="shared" si="26"/>
        <v>-1718.23851</v>
      </c>
      <c r="H145" s="159">
        <f t="shared" si="27"/>
        <v>1718.23851</v>
      </c>
      <c r="I145" s="162"/>
      <c r="J145" s="163"/>
      <c r="L145" s="164"/>
    </row>
    <row r="146" s="134" customFormat="1" ht="14.25" spans="1:12">
      <c r="A146" s="157">
        <v>16</v>
      </c>
      <c r="B146" s="112" t="s">
        <v>300</v>
      </c>
      <c r="C146" s="158">
        <v>0</v>
      </c>
      <c r="D146" s="159">
        <f t="shared" si="25"/>
        <v>1533</v>
      </c>
      <c r="E146" s="161">
        <v>1533</v>
      </c>
      <c r="F146" s="158"/>
      <c r="G146" s="159">
        <f t="shared" si="26"/>
        <v>-1533</v>
      </c>
      <c r="H146" s="159">
        <f t="shared" si="27"/>
        <v>1533</v>
      </c>
      <c r="I146" s="162"/>
      <c r="J146" s="163"/>
      <c r="L146" s="164"/>
    </row>
    <row r="147" s="134" customFormat="1" ht="14.25" spans="1:12">
      <c r="A147" s="157">
        <v>17</v>
      </c>
      <c r="B147" s="112" t="s">
        <v>301</v>
      </c>
      <c r="C147" s="158">
        <v>0</v>
      </c>
      <c r="D147" s="159">
        <f t="shared" si="25"/>
        <v>942.4</v>
      </c>
      <c r="E147" s="161">
        <v>942.4</v>
      </c>
      <c r="F147" s="158"/>
      <c r="G147" s="159">
        <f t="shared" si="26"/>
        <v>-942.4</v>
      </c>
      <c r="H147" s="159">
        <f t="shared" si="27"/>
        <v>942.4</v>
      </c>
      <c r="I147" s="162"/>
      <c r="J147" s="163"/>
      <c r="L147" s="164"/>
    </row>
    <row r="148" s="134" customFormat="1" ht="14.25" spans="1:12">
      <c r="A148" s="157">
        <v>18</v>
      </c>
      <c r="B148" s="112" t="s">
        <v>302</v>
      </c>
      <c r="C148" s="158">
        <v>0</v>
      </c>
      <c r="D148" s="159">
        <f t="shared" si="25"/>
        <v>730.065167</v>
      </c>
      <c r="E148" s="161">
        <v>730.065167</v>
      </c>
      <c r="F148" s="158"/>
      <c r="G148" s="159">
        <f t="shared" si="26"/>
        <v>-730.065167</v>
      </c>
      <c r="H148" s="159">
        <f t="shared" si="27"/>
        <v>730.065167</v>
      </c>
      <c r="I148" s="162"/>
      <c r="J148" s="163"/>
      <c r="L148" s="164"/>
    </row>
    <row r="149" s="134" customFormat="1" ht="14.25" spans="1:12">
      <c r="A149" s="157">
        <v>19</v>
      </c>
      <c r="B149" s="112" t="s">
        <v>303</v>
      </c>
      <c r="C149" s="158">
        <v>0</v>
      </c>
      <c r="D149" s="159">
        <f t="shared" si="25"/>
        <v>733.4646</v>
      </c>
      <c r="E149" s="161">
        <v>733.4646</v>
      </c>
      <c r="F149" s="158"/>
      <c r="G149" s="159">
        <f t="shared" si="26"/>
        <v>-733.4646</v>
      </c>
      <c r="H149" s="159">
        <f t="shared" si="27"/>
        <v>733.4646</v>
      </c>
      <c r="I149" s="162"/>
      <c r="J149" s="163"/>
      <c r="L149" s="164"/>
    </row>
    <row r="150" s="134" customFormat="1" ht="14.25" spans="1:12">
      <c r="A150" s="157">
        <v>20</v>
      </c>
      <c r="B150" s="112" t="s">
        <v>304</v>
      </c>
      <c r="C150" s="158">
        <v>0</v>
      </c>
      <c r="D150" s="159">
        <f t="shared" si="25"/>
        <v>1000</v>
      </c>
      <c r="E150" s="161">
        <v>1000</v>
      </c>
      <c r="F150" s="158"/>
      <c r="G150" s="159">
        <f t="shared" si="26"/>
        <v>-1000</v>
      </c>
      <c r="H150" s="159">
        <f t="shared" si="27"/>
        <v>1000</v>
      </c>
      <c r="I150" s="162"/>
      <c r="J150" s="163"/>
      <c r="L150" s="164"/>
    </row>
    <row r="151" s="134" customFormat="1" ht="24" customHeight="1" spans="1:12">
      <c r="A151" s="157">
        <v>21</v>
      </c>
      <c r="B151" s="112" t="s">
        <v>305</v>
      </c>
      <c r="C151" s="158">
        <v>0</v>
      </c>
      <c r="D151" s="159">
        <f t="shared" si="25"/>
        <v>985.152946</v>
      </c>
      <c r="E151" s="161">
        <v>985.152946</v>
      </c>
      <c r="F151" s="158"/>
      <c r="G151" s="159">
        <f t="shared" si="26"/>
        <v>-985.152946</v>
      </c>
      <c r="H151" s="159">
        <f t="shared" si="27"/>
        <v>985.152946</v>
      </c>
      <c r="I151" s="162"/>
      <c r="J151" s="163"/>
      <c r="L151" s="164"/>
    </row>
    <row r="152" s="134" customFormat="1" ht="28.5" customHeight="1" spans="1:12">
      <c r="A152" s="157">
        <v>22</v>
      </c>
      <c r="B152" s="112" t="s">
        <v>306</v>
      </c>
      <c r="C152" s="158">
        <v>0</v>
      </c>
      <c r="D152" s="159">
        <f t="shared" si="25"/>
        <v>1500</v>
      </c>
      <c r="E152" s="158">
        <v>1500</v>
      </c>
      <c r="F152" s="158"/>
      <c r="G152" s="159">
        <f t="shared" si="26"/>
        <v>-1500</v>
      </c>
      <c r="H152" s="159">
        <f t="shared" si="27"/>
        <v>1500</v>
      </c>
      <c r="I152" s="162"/>
      <c r="J152" s="163"/>
      <c r="L152" s="164"/>
    </row>
    <row r="153" s="134" customFormat="1" ht="14.25" spans="1:12">
      <c r="A153" s="157">
        <v>23</v>
      </c>
      <c r="B153" s="112" t="s">
        <v>307</v>
      </c>
      <c r="C153" s="158">
        <v>0</v>
      </c>
      <c r="D153" s="159">
        <f t="shared" si="25"/>
        <v>500</v>
      </c>
      <c r="E153" s="158">
        <v>500</v>
      </c>
      <c r="F153" s="158"/>
      <c r="G153" s="159">
        <f t="shared" si="26"/>
        <v>-500</v>
      </c>
      <c r="H153" s="159">
        <f t="shared" si="27"/>
        <v>500</v>
      </c>
      <c r="I153" s="162"/>
      <c r="J153" s="163"/>
      <c r="L153" s="164"/>
    </row>
    <row r="154" s="134" customFormat="1" ht="14.25" spans="1:12">
      <c r="A154" s="157">
        <v>24</v>
      </c>
      <c r="B154" s="112" t="s">
        <v>308</v>
      </c>
      <c r="C154" s="158">
        <v>0</v>
      </c>
      <c r="D154" s="159">
        <f t="shared" si="25"/>
        <v>4209</v>
      </c>
      <c r="E154" s="161">
        <v>4209</v>
      </c>
      <c r="F154" s="158"/>
      <c r="G154" s="159">
        <f t="shared" si="26"/>
        <v>-4209</v>
      </c>
      <c r="H154" s="159">
        <f t="shared" si="27"/>
        <v>4209</v>
      </c>
      <c r="I154" s="162"/>
      <c r="J154" s="163"/>
      <c r="L154" s="164"/>
    </row>
    <row r="155" s="134" customFormat="1" ht="14.25" spans="1:12">
      <c r="A155" s="157">
        <v>25</v>
      </c>
      <c r="B155" s="112" t="s">
        <v>300</v>
      </c>
      <c r="C155" s="158">
        <v>0</v>
      </c>
      <c r="D155" s="159">
        <f t="shared" si="25"/>
        <v>1791.3</v>
      </c>
      <c r="E155" s="161">
        <v>1791.3</v>
      </c>
      <c r="F155" s="158"/>
      <c r="G155" s="159">
        <f t="shared" si="26"/>
        <v>-1791.3</v>
      </c>
      <c r="H155" s="159">
        <f t="shared" si="27"/>
        <v>1791.3</v>
      </c>
      <c r="I155" s="162"/>
      <c r="J155" s="163"/>
      <c r="L155" s="164"/>
    </row>
    <row r="156" s="134" customFormat="1" ht="14.25" spans="1:12">
      <c r="A156" s="157">
        <v>26</v>
      </c>
      <c r="B156" s="112" t="s">
        <v>309</v>
      </c>
      <c r="C156" s="158">
        <v>0</v>
      </c>
      <c r="D156" s="159">
        <f t="shared" si="25"/>
        <v>3288</v>
      </c>
      <c r="E156" s="161">
        <v>3288</v>
      </c>
      <c r="F156" s="158"/>
      <c r="G156" s="159">
        <f t="shared" si="26"/>
        <v>-3288</v>
      </c>
      <c r="H156" s="159">
        <f t="shared" si="27"/>
        <v>3288</v>
      </c>
      <c r="I156" s="146"/>
      <c r="J156" s="163"/>
      <c r="L156" s="164"/>
    </row>
    <row r="157" s="134" customFormat="1" ht="14.25" spans="1:12">
      <c r="A157" s="157">
        <v>27</v>
      </c>
      <c r="B157" s="112" t="s">
        <v>310</v>
      </c>
      <c r="C157" s="158">
        <v>0</v>
      </c>
      <c r="D157" s="159">
        <f t="shared" si="25"/>
        <v>1212</v>
      </c>
      <c r="E157" s="161">
        <v>1212</v>
      </c>
      <c r="F157" s="158"/>
      <c r="G157" s="159">
        <f t="shared" si="26"/>
        <v>-1212</v>
      </c>
      <c r="H157" s="159">
        <f t="shared" si="27"/>
        <v>1212</v>
      </c>
      <c r="I157" s="146"/>
      <c r="J157" s="163"/>
      <c r="L157" s="164"/>
    </row>
    <row r="158" s="134" customFormat="1" ht="14.25" spans="1:12">
      <c r="A158" s="157">
        <v>28</v>
      </c>
      <c r="B158" s="112" t="s">
        <v>311</v>
      </c>
      <c r="C158" s="158">
        <v>0</v>
      </c>
      <c r="D158" s="159">
        <f t="shared" si="25"/>
        <v>487</v>
      </c>
      <c r="E158" s="158">
        <v>487</v>
      </c>
      <c r="F158" s="158"/>
      <c r="G158" s="159">
        <f t="shared" si="26"/>
        <v>-487</v>
      </c>
      <c r="H158" s="159">
        <f t="shared" si="27"/>
        <v>487</v>
      </c>
      <c r="I158" s="146"/>
      <c r="J158" s="163"/>
      <c r="L158" s="164"/>
    </row>
    <row r="159" s="134" customFormat="1" ht="14.25" spans="1:12">
      <c r="A159" s="157">
        <v>29</v>
      </c>
      <c r="B159" s="112" t="s">
        <v>312</v>
      </c>
      <c r="C159" s="158">
        <v>0</v>
      </c>
      <c r="D159" s="159">
        <f t="shared" si="25"/>
        <v>1596</v>
      </c>
      <c r="E159" s="158">
        <v>1596</v>
      </c>
      <c r="F159" s="158"/>
      <c r="G159" s="159">
        <f t="shared" si="26"/>
        <v>-1596</v>
      </c>
      <c r="H159" s="159">
        <f t="shared" si="27"/>
        <v>1596</v>
      </c>
      <c r="I159" s="146"/>
      <c r="J159" s="163"/>
      <c r="L159" s="164"/>
    </row>
    <row r="160" s="134" customFormat="1" ht="14.25" spans="1:12">
      <c r="A160" s="157">
        <v>30</v>
      </c>
      <c r="B160" s="112" t="s">
        <v>313</v>
      </c>
      <c r="C160" s="158">
        <v>0</v>
      </c>
      <c r="D160" s="159">
        <f t="shared" si="25"/>
        <v>96</v>
      </c>
      <c r="E160" s="158">
        <v>96</v>
      </c>
      <c r="F160" s="158"/>
      <c r="G160" s="159">
        <f t="shared" si="26"/>
        <v>-96</v>
      </c>
      <c r="H160" s="159">
        <f t="shared" si="27"/>
        <v>96</v>
      </c>
      <c r="I160" s="146"/>
      <c r="J160" s="163"/>
      <c r="L160" s="164"/>
    </row>
    <row r="161" s="134" customFormat="1" ht="14.25" spans="1:12">
      <c r="A161" s="157">
        <v>31</v>
      </c>
      <c r="B161" s="112" t="s">
        <v>314</v>
      </c>
      <c r="C161" s="158">
        <v>0</v>
      </c>
      <c r="D161" s="159">
        <f t="shared" si="25"/>
        <v>774</v>
      </c>
      <c r="E161" s="158">
        <v>774</v>
      </c>
      <c r="F161" s="158"/>
      <c r="G161" s="159">
        <f t="shared" si="26"/>
        <v>-774</v>
      </c>
      <c r="H161" s="159">
        <f t="shared" si="27"/>
        <v>774</v>
      </c>
      <c r="I161" s="146"/>
      <c r="J161" s="163"/>
      <c r="L161" s="164"/>
    </row>
    <row r="162" s="134" customFormat="1" ht="14.25" spans="1:12">
      <c r="A162" s="157">
        <v>32</v>
      </c>
      <c r="B162" s="112" t="s">
        <v>296</v>
      </c>
      <c r="C162" s="158">
        <v>0</v>
      </c>
      <c r="D162" s="159">
        <f t="shared" si="25"/>
        <v>1652</v>
      </c>
      <c r="E162" s="161">
        <v>1652</v>
      </c>
      <c r="F162" s="158"/>
      <c r="G162" s="159">
        <f t="shared" si="26"/>
        <v>-1652</v>
      </c>
      <c r="H162" s="159">
        <f t="shared" si="27"/>
        <v>1652</v>
      </c>
      <c r="I162" s="146"/>
      <c r="J162" s="163"/>
      <c r="L162" s="164"/>
    </row>
    <row r="163" s="134" customFormat="1" ht="14.25" spans="1:12">
      <c r="A163" s="157">
        <v>33</v>
      </c>
      <c r="B163" s="112" t="s">
        <v>315</v>
      </c>
      <c r="C163" s="158">
        <v>300</v>
      </c>
      <c r="D163" s="159">
        <f t="shared" si="25"/>
        <v>897</v>
      </c>
      <c r="E163" s="147">
        <v>397</v>
      </c>
      <c r="F163" s="147">
        <v>500</v>
      </c>
      <c r="G163" s="159">
        <f t="shared" si="26"/>
        <v>-597</v>
      </c>
      <c r="H163" s="159">
        <f t="shared" si="27"/>
        <v>597</v>
      </c>
      <c r="I163" s="162"/>
      <c r="J163" s="163"/>
      <c r="L163" s="164"/>
    </row>
    <row r="164" s="134" customFormat="1" ht="14.25" spans="1:12">
      <c r="A164" s="157">
        <v>34</v>
      </c>
      <c r="B164" s="112" t="s">
        <v>316</v>
      </c>
      <c r="C164" s="158">
        <v>1500</v>
      </c>
      <c r="D164" s="159">
        <f t="shared" si="25"/>
        <v>1858</v>
      </c>
      <c r="E164" s="147">
        <v>985</v>
      </c>
      <c r="F164" s="147">
        <v>873</v>
      </c>
      <c r="G164" s="159">
        <f t="shared" si="26"/>
        <v>-358</v>
      </c>
      <c r="H164" s="159">
        <f t="shared" si="27"/>
        <v>358</v>
      </c>
      <c r="I164" s="162"/>
      <c r="J164" s="163"/>
      <c r="L164" s="164"/>
    </row>
    <row r="165" s="134" customFormat="1" ht="14.25" spans="1:12">
      <c r="A165" s="157">
        <v>35</v>
      </c>
      <c r="B165" s="112" t="s">
        <v>317</v>
      </c>
      <c r="C165" s="158">
        <v>4200</v>
      </c>
      <c r="D165" s="159">
        <f t="shared" si="25"/>
        <v>6099</v>
      </c>
      <c r="E165" s="147">
        <v>1417</v>
      </c>
      <c r="F165" s="147">
        <v>4682</v>
      </c>
      <c r="G165" s="159">
        <f t="shared" si="26"/>
        <v>-1899</v>
      </c>
      <c r="H165" s="159">
        <f t="shared" si="27"/>
        <v>1899</v>
      </c>
      <c r="I165" s="162"/>
      <c r="J165" s="163"/>
      <c r="L165" s="164"/>
    </row>
    <row r="166" s="134" customFormat="1" ht="14.25" spans="1:12">
      <c r="A166" s="157">
        <v>36</v>
      </c>
      <c r="B166" s="112" t="s">
        <v>318</v>
      </c>
      <c r="C166" s="158">
        <v>3000</v>
      </c>
      <c r="D166" s="159">
        <f t="shared" si="25"/>
        <v>4425</v>
      </c>
      <c r="E166" s="147">
        <v>2125</v>
      </c>
      <c r="F166" s="147">
        <v>2300</v>
      </c>
      <c r="G166" s="159">
        <f t="shared" si="26"/>
        <v>-1425</v>
      </c>
      <c r="H166" s="159">
        <f t="shared" si="27"/>
        <v>1425</v>
      </c>
      <c r="I166" s="162"/>
      <c r="J166" s="163"/>
      <c r="L166" s="164"/>
    </row>
    <row r="167" s="134" customFormat="1" ht="14.25" spans="1:10">
      <c r="A167" s="157">
        <v>37</v>
      </c>
      <c r="B167" s="112" t="s">
        <v>319</v>
      </c>
      <c r="C167" s="158">
        <v>0</v>
      </c>
      <c r="D167" s="159">
        <f t="shared" si="25"/>
        <v>1751.6494</v>
      </c>
      <c r="E167" s="158"/>
      <c r="F167" s="161">
        <v>1751.6494</v>
      </c>
      <c r="G167" s="159">
        <f t="shared" si="26"/>
        <v>-1751.6494</v>
      </c>
      <c r="H167" s="159">
        <v>1751.6494</v>
      </c>
      <c r="I167" s="165"/>
      <c r="J167" s="163"/>
    </row>
    <row r="168" s="134" customFormat="1" ht="14.25" spans="1:10">
      <c r="A168" s="157">
        <v>38</v>
      </c>
      <c r="B168" s="112" t="s">
        <v>320</v>
      </c>
      <c r="C168" s="158">
        <v>0</v>
      </c>
      <c r="D168" s="159">
        <f t="shared" si="25"/>
        <v>5000</v>
      </c>
      <c r="E168" s="158"/>
      <c r="F168" s="161">
        <v>5000</v>
      </c>
      <c r="G168" s="159">
        <f t="shared" si="26"/>
        <v>-5000</v>
      </c>
      <c r="H168" s="159">
        <v>5000</v>
      </c>
      <c r="I168" s="165"/>
      <c r="J168" s="163"/>
    </row>
    <row r="169" s="134" customFormat="1" ht="14.25" spans="1:10">
      <c r="A169" s="157">
        <v>39</v>
      </c>
      <c r="B169" s="112" t="s">
        <v>321</v>
      </c>
      <c r="C169" s="158">
        <v>0</v>
      </c>
      <c r="D169" s="159">
        <f t="shared" si="25"/>
        <v>2547</v>
      </c>
      <c r="E169" s="158"/>
      <c r="F169" s="161">
        <v>2547</v>
      </c>
      <c r="G169" s="159">
        <f t="shared" si="26"/>
        <v>-2547</v>
      </c>
      <c r="H169" s="159">
        <v>2547</v>
      </c>
      <c r="I169" s="165"/>
      <c r="J169" s="163"/>
    </row>
    <row r="170" s="134" customFormat="1" ht="14.25" spans="1:10">
      <c r="A170" s="157">
        <v>40</v>
      </c>
      <c r="B170" s="112" t="s">
        <v>322</v>
      </c>
      <c r="C170" s="158">
        <v>0</v>
      </c>
      <c r="D170" s="159">
        <f t="shared" si="25"/>
        <v>1006</v>
      </c>
      <c r="E170" s="158"/>
      <c r="F170" s="161">
        <v>1006</v>
      </c>
      <c r="G170" s="159">
        <f t="shared" si="26"/>
        <v>-1006</v>
      </c>
      <c r="H170" s="159">
        <v>1006</v>
      </c>
      <c r="I170" s="165"/>
      <c r="J170" s="163"/>
    </row>
    <row r="171" s="134" customFormat="1" ht="14.25" spans="1:10">
      <c r="A171" s="157">
        <v>41</v>
      </c>
      <c r="B171" s="112" t="s">
        <v>323</v>
      </c>
      <c r="C171" s="158">
        <v>0</v>
      </c>
      <c r="D171" s="159">
        <f t="shared" si="25"/>
        <v>880</v>
      </c>
      <c r="E171" s="158"/>
      <c r="F171" s="161">
        <v>880</v>
      </c>
      <c r="G171" s="159">
        <f t="shared" si="26"/>
        <v>-880</v>
      </c>
      <c r="H171" s="159">
        <v>880</v>
      </c>
      <c r="I171" s="165"/>
      <c r="J171" s="163"/>
    </row>
    <row r="172" s="134" customFormat="1" ht="14.25" spans="1:10">
      <c r="A172" s="157">
        <v>42</v>
      </c>
      <c r="B172" s="112" t="s">
        <v>324</v>
      </c>
      <c r="C172" s="158">
        <v>0</v>
      </c>
      <c r="D172" s="159">
        <f t="shared" si="25"/>
        <v>734.74978</v>
      </c>
      <c r="E172" s="158"/>
      <c r="F172" s="161">
        <v>734.74978</v>
      </c>
      <c r="G172" s="159">
        <f t="shared" si="26"/>
        <v>-734.74978</v>
      </c>
      <c r="H172" s="159">
        <v>734.74978</v>
      </c>
      <c r="I172" s="165"/>
      <c r="J172" s="163"/>
    </row>
    <row r="173" s="134" customFormat="1" ht="14.25" spans="1:10">
      <c r="A173" s="157">
        <v>43</v>
      </c>
      <c r="B173" s="112" t="s">
        <v>325</v>
      </c>
      <c r="C173" s="159">
        <v>0</v>
      </c>
      <c r="D173" s="159">
        <f t="shared" si="25"/>
        <v>2120.33048</v>
      </c>
      <c r="E173" s="159">
        <v>2120.33048</v>
      </c>
      <c r="F173" s="159"/>
      <c r="G173" s="159">
        <f t="shared" si="26"/>
        <v>-2120.33048</v>
      </c>
      <c r="H173" s="159">
        <f t="shared" ref="H173:H176" si="28">-G173</f>
        <v>2120.33048</v>
      </c>
      <c r="I173" s="162"/>
      <c r="J173" s="163"/>
    </row>
    <row r="174" s="134" customFormat="1" ht="14.25" spans="1:10">
      <c r="A174" s="157">
        <v>44</v>
      </c>
      <c r="B174" s="112" t="s">
        <v>326</v>
      </c>
      <c r="C174" s="159">
        <v>0</v>
      </c>
      <c r="D174" s="159">
        <f t="shared" si="25"/>
        <v>6120</v>
      </c>
      <c r="E174" s="159">
        <v>6120</v>
      </c>
      <c r="F174" s="159"/>
      <c r="G174" s="159">
        <f t="shared" si="26"/>
        <v>-6120</v>
      </c>
      <c r="H174" s="159">
        <f t="shared" si="28"/>
        <v>6120</v>
      </c>
      <c r="I174" s="162"/>
      <c r="J174" s="163"/>
    </row>
    <row r="175" s="134" customFormat="1" ht="14.25" spans="1:10">
      <c r="A175" s="157">
        <v>45</v>
      </c>
      <c r="B175" s="112" t="s">
        <v>327</v>
      </c>
      <c r="C175" s="159">
        <v>0</v>
      </c>
      <c r="D175" s="159">
        <f t="shared" si="25"/>
        <v>5830.687272</v>
      </c>
      <c r="E175" s="159">
        <v>5330.687272</v>
      </c>
      <c r="F175" s="159">
        <v>500</v>
      </c>
      <c r="G175" s="159">
        <f t="shared" si="26"/>
        <v>-5830.687272</v>
      </c>
      <c r="H175" s="159">
        <f t="shared" si="28"/>
        <v>5830.687272</v>
      </c>
      <c r="I175" s="162"/>
      <c r="J175" s="163"/>
    </row>
    <row r="176" s="134" customFormat="1" ht="14.25" spans="1:10">
      <c r="A176" s="157">
        <v>46</v>
      </c>
      <c r="B176" s="112" t="s">
        <v>328</v>
      </c>
      <c r="C176" s="159">
        <v>0</v>
      </c>
      <c r="D176" s="159">
        <f t="shared" si="25"/>
        <v>7000</v>
      </c>
      <c r="E176" s="159">
        <v>7000</v>
      </c>
      <c r="F176" s="159"/>
      <c r="G176" s="159">
        <f t="shared" si="26"/>
        <v>-7000</v>
      </c>
      <c r="H176" s="159">
        <f t="shared" si="28"/>
        <v>7000</v>
      </c>
      <c r="I176" s="162"/>
      <c r="J176" s="163"/>
    </row>
    <row r="177" s="134" customFormat="1" ht="14.25" spans="1:10">
      <c r="A177" s="157">
        <v>47</v>
      </c>
      <c r="B177" s="112" t="s">
        <v>329</v>
      </c>
      <c r="C177" s="147">
        <v>0</v>
      </c>
      <c r="D177" s="145">
        <f t="shared" si="25"/>
        <v>3190</v>
      </c>
      <c r="E177" s="147"/>
      <c r="F177" s="147">
        <v>3190</v>
      </c>
      <c r="G177" s="159">
        <f t="shared" si="26"/>
        <v>-3190</v>
      </c>
      <c r="H177" s="159">
        <v>3190</v>
      </c>
      <c r="I177" s="166"/>
      <c r="J177" s="163"/>
    </row>
    <row r="178" s="134" customFormat="1" ht="14.25" spans="1:10">
      <c r="A178" s="157">
        <v>48</v>
      </c>
      <c r="B178" s="112" t="s">
        <v>330</v>
      </c>
      <c r="C178" s="158">
        <v>0</v>
      </c>
      <c r="D178" s="145">
        <f t="shared" si="25"/>
        <v>3460</v>
      </c>
      <c r="E178" s="158"/>
      <c r="F178" s="158">
        <v>3460</v>
      </c>
      <c r="G178" s="159">
        <f t="shared" si="26"/>
        <v>-3460</v>
      </c>
      <c r="H178" s="159">
        <f>-G178</f>
        <v>3460</v>
      </c>
      <c r="I178" s="162"/>
      <c r="J178" s="163"/>
    </row>
  </sheetData>
  <mergeCells count="13">
    <mergeCell ref="A1:I1"/>
    <mergeCell ref="A2:B2"/>
    <mergeCell ref="C2:G2"/>
    <mergeCell ref="D3:F3"/>
    <mergeCell ref="A3:A5"/>
    <mergeCell ref="B3:B5"/>
    <mergeCell ref="C3:C5"/>
    <mergeCell ref="D4:D5"/>
    <mergeCell ref="E4:E5"/>
    <mergeCell ref="F4:F5"/>
    <mergeCell ref="G3:G5"/>
    <mergeCell ref="H3:H5"/>
    <mergeCell ref="I3:I5"/>
  </mergeCells>
  <pageMargins left="0.700694444444445" right="0.700694444444445" top="0.751388888888889" bottom="0.751388888888889" header="0.298611111111111" footer="0.298611111111111"/>
  <pageSetup paperSize="9" scale="76" firstPageNumber="16" fitToHeight="0" orientation="landscape" useFirstPageNumber="1" horizontalDpi="600"/>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AF33"/>
  <sheetViews>
    <sheetView view="pageBreakPreview" zoomScaleNormal="100" workbookViewId="0">
      <pane xSplit="2" ySplit="4" topLeftCell="L5" activePane="bottomRight" state="frozen"/>
      <selection/>
      <selection pane="topRight"/>
      <selection pane="bottomLeft"/>
      <selection pane="bottomRight" activeCell="AD29" sqref="AD29"/>
    </sheetView>
  </sheetViews>
  <sheetFormatPr defaultColWidth="9" defaultRowHeight="13.5"/>
  <cols>
    <col min="1" max="1" width="7.5" style="122" customWidth="1"/>
    <col min="2" max="2" width="15.875" style="122" customWidth="1"/>
    <col min="3" max="3" width="7.875" style="122" customWidth="1"/>
    <col min="4" max="4" width="9.25" style="122" customWidth="1"/>
    <col min="5" max="5" width="9" style="122"/>
    <col min="6" max="8" width="7" style="122" customWidth="1"/>
    <col min="9" max="10" width="8.375" style="122" customWidth="1"/>
    <col min="11" max="11" width="6.875" style="122" customWidth="1"/>
    <col min="12" max="12" width="9" style="122" customWidth="1"/>
    <col min="13" max="13" width="8.375" style="122" customWidth="1"/>
    <col min="14" max="14" width="7" style="122" customWidth="1"/>
    <col min="15" max="15" width="7.5" style="122" customWidth="1"/>
    <col min="16" max="17" width="7" style="122" customWidth="1"/>
    <col min="18" max="18" width="7.625" style="122" customWidth="1"/>
    <col min="19" max="26" width="7" style="122" customWidth="1"/>
    <col min="27" max="27" width="8.375" style="122" customWidth="1"/>
    <col min="28" max="29" width="8.875" style="122" customWidth="1"/>
    <col min="30" max="30" width="12.625" style="123" customWidth="1"/>
    <col min="31" max="31" width="10.625" style="37" customWidth="1"/>
    <col min="32" max="32" width="11.5" style="37"/>
    <col min="33" max="33" width="11.5" style="122" customWidth="1"/>
    <col min="34" max="16384" width="9" style="122"/>
  </cols>
  <sheetData>
    <row r="1" s="122" customFormat="1" ht="27" spans="1:32">
      <c r="A1" s="39" t="s">
        <v>331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122" customFormat="1" ht="18.75" spans="1:32">
      <c r="A2" s="122" t="s">
        <v>1</v>
      </c>
      <c r="B2" s="124"/>
      <c r="C2" s="42"/>
      <c r="D2" s="42"/>
      <c r="E2" s="42"/>
      <c r="F2" s="43"/>
      <c r="G2" s="44" t="s">
        <v>2</v>
      </c>
      <c r="H2" s="44"/>
      <c r="I2" s="44"/>
      <c r="J2" s="44"/>
      <c r="K2" s="44"/>
      <c r="L2" s="44"/>
      <c r="M2" s="44"/>
      <c r="N2" s="44"/>
      <c r="O2" s="44"/>
      <c r="P2" s="44"/>
      <c r="Q2" s="44"/>
      <c r="R2" s="44"/>
      <c r="S2" s="44"/>
      <c r="T2" s="44"/>
      <c r="U2" s="44"/>
      <c r="V2" s="44"/>
      <c r="W2" s="44"/>
      <c r="X2" s="44"/>
      <c r="Y2" s="44"/>
      <c r="Z2" s="42"/>
      <c r="AA2" s="42"/>
      <c r="AB2" s="42"/>
      <c r="AC2" s="42"/>
      <c r="AD2" s="57"/>
      <c r="AE2" s="128" t="s">
        <v>3</v>
      </c>
      <c r="AF2" s="128"/>
    </row>
    <row r="3" s="122" customFormat="1" ht="48" customHeight="1" spans="1:32">
      <c r="A3" s="45" t="s">
        <v>332</v>
      </c>
      <c r="B3" s="45" t="s">
        <v>333</v>
      </c>
      <c r="C3" s="45" t="s">
        <v>334</v>
      </c>
      <c r="D3" s="46" t="s">
        <v>335</v>
      </c>
      <c r="E3" s="46"/>
      <c r="F3" s="45" t="s">
        <v>336</v>
      </c>
      <c r="G3" s="46" t="s">
        <v>335</v>
      </c>
      <c r="H3" s="46"/>
      <c r="I3" s="45" t="s">
        <v>337</v>
      </c>
      <c r="J3" s="46" t="s">
        <v>335</v>
      </c>
      <c r="K3" s="46"/>
      <c r="L3" s="45" t="s">
        <v>338</v>
      </c>
      <c r="M3" s="46" t="s">
        <v>335</v>
      </c>
      <c r="N3" s="46"/>
      <c r="O3" s="55" t="s">
        <v>339</v>
      </c>
      <c r="P3" s="46" t="s">
        <v>335</v>
      </c>
      <c r="Q3" s="46"/>
      <c r="R3" s="55" t="s">
        <v>340</v>
      </c>
      <c r="S3" s="46" t="s">
        <v>335</v>
      </c>
      <c r="T3" s="46"/>
      <c r="U3" s="45" t="s">
        <v>341</v>
      </c>
      <c r="V3" s="46" t="s">
        <v>335</v>
      </c>
      <c r="W3" s="46"/>
      <c r="X3" s="45" t="s">
        <v>342</v>
      </c>
      <c r="Y3" s="46" t="s">
        <v>335</v>
      </c>
      <c r="Z3" s="46"/>
      <c r="AA3" s="45" t="s">
        <v>343</v>
      </c>
      <c r="AB3" s="46" t="s">
        <v>335</v>
      </c>
      <c r="AC3" s="46"/>
      <c r="AD3" s="45" t="s">
        <v>344</v>
      </c>
      <c r="AE3" s="60" t="s">
        <v>335</v>
      </c>
      <c r="AF3" s="60"/>
    </row>
    <row r="4" s="122" customFormat="1" ht="48" customHeight="1" spans="1:32">
      <c r="A4" s="45"/>
      <c r="B4" s="45"/>
      <c r="C4" s="45"/>
      <c r="D4" s="47" t="s">
        <v>10</v>
      </c>
      <c r="E4" s="47" t="s">
        <v>11</v>
      </c>
      <c r="F4" s="45"/>
      <c r="G4" s="47" t="s">
        <v>10</v>
      </c>
      <c r="H4" s="47" t="s">
        <v>11</v>
      </c>
      <c r="I4" s="45"/>
      <c r="J4" s="47" t="s">
        <v>10</v>
      </c>
      <c r="K4" s="47" t="s">
        <v>11</v>
      </c>
      <c r="L4" s="45"/>
      <c r="M4" s="47" t="s">
        <v>10</v>
      </c>
      <c r="N4" s="47" t="s">
        <v>11</v>
      </c>
      <c r="O4" s="56"/>
      <c r="P4" s="47" t="s">
        <v>10</v>
      </c>
      <c r="Q4" s="47" t="s">
        <v>11</v>
      </c>
      <c r="R4" s="56"/>
      <c r="S4" s="47" t="s">
        <v>10</v>
      </c>
      <c r="T4" s="47" t="s">
        <v>11</v>
      </c>
      <c r="U4" s="45"/>
      <c r="V4" s="47" t="s">
        <v>10</v>
      </c>
      <c r="W4" s="47" t="s">
        <v>11</v>
      </c>
      <c r="X4" s="45"/>
      <c r="Y4" s="47" t="s">
        <v>10</v>
      </c>
      <c r="Z4" s="47" t="s">
        <v>11</v>
      </c>
      <c r="AA4" s="45"/>
      <c r="AB4" s="47" t="s">
        <v>10</v>
      </c>
      <c r="AC4" s="47" t="s">
        <v>11</v>
      </c>
      <c r="AD4" s="45"/>
      <c r="AE4" s="61" t="s">
        <v>10</v>
      </c>
      <c r="AF4" s="129" t="s">
        <v>11</v>
      </c>
    </row>
    <row r="5" s="122" customFormat="1" ht="34.5" customHeight="1" spans="1:32">
      <c r="A5" s="48">
        <v>201</v>
      </c>
      <c r="B5" s="49" t="s">
        <v>345</v>
      </c>
      <c r="C5" s="125">
        <f>D5+E5</f>
        <v>135008.37</v>
      </c>
      <c r="D5" s="50">
        <v>120972.37</v>
      </c>
      <c r="E5" s="125">
        <v>14036</v>
      </c>
      <c r="F5" s="125">
        <f t="shared" ref="F5:F18" si="0">G5+H5</f>
        <v>277.24</v>
      </c>
      <c r="G5" s="50">
        <v>277.24</v>
      </c>
      <c r="H5" s="50">
        <v>0</v>
      </c>
      <c r="I5" s="125">
        <f t="shared" ref="I5:I18" si="1">J5+K5</f>
        <v>0</v>
      </c>
      <c r="J5" s="50"/>
      <c r="K5" s="50"/>
      <c r="L5" s="125">
        <f t="shared" ref="L5:L18" si="2">M5+N5</f>
        <v>-59500</v>
      </c>
      <c r="M5" s="50">
        <v>-60000</v>
      </c>
      <c r="N5" s="50">
        <v>500</v>
      </c>
      <c r="O5" s="125">
        <f t="shared" ref="O5:O18" si="3">P5+Q5</f>
        <v>0</v>
      </c>
      <c r="P5" s="50">
        <v>0</v>
      </c>
      <c r="Q5" s="50">
        <v>0</v>
      </c>
      <c r="R5" s="125">
        <f t="shared" ref="R5:R18" si="4">S5+T5</f>
        <v>0</v>
      </c>
      <c r="S5" s="50">
        <v>0</v>
      </c>
      <c r="T5" s="50">
        <v>0</v>
      </c>
      <c r="U5" s="125">
        <f t="shared" ref="U5:U18" si="5">V5+W5</f>
        <v>0</v>
      </c>
      <c r="V5" s="50">
        <v>0</v>
      </c>
      <c r="W5" s="50">
        <v>0</v>
      </c>
      <c r="X5" s="125">
        <f t="shared" ref="X5:X18" si="6">Y5+Z5</f>
        <v>0</v>
      </c>
      <c r="Y5" s="50">
        <v>0</v>
      </c>
      <c r="Z5" s="50">
        <v>0</v>
      </c>
      <c r="AA5" s="125">
        <f>AB5+AC5</f>
        <v>-10910</v>
      </c>
      <c r="AB5" s="50">
        <v>-10000</v>
      </c>
      <c r="AC5" s="125">
        <v>-910</v>
      </c>
      <c r="AD5" s="125">
        <f>AE5+AF5</f>
        <v>64875.61</v>
      </c>
      <c r="AE5" s="130">
        <f t="shared" ref="AE5:AE18" si="7">D5+G5+J5+M5+P5+S5+V5+Y5+AB5</f>
        <v>51249.61</v>
      </c>
      <c r="AF5" s="130">
        <f t="shared" ref="AF5:AF29" si="8">E5+H5+K5+N5+Q5+T5+W5+Z5+AC5</f>
        <v>13626</v>
      </c>
    </row>
    <row r="6" s="122" customFormat="1" ht="34.5" customHeight="1" spans="1:32">
      <c r="A6" s="48">
        <v>203</v>
      </c>
      <c r="B6" s="49" t="s">
        <v>346</v>
      </c>
      <c r="C6" s="125">
        <f t="shared" ref="C6:C28" si="9">D6+E6</f>
        <v>728.87</v>
      </c>
      <c r="D6" s="50">
        <v>728.87</v>
      </c>
      <c r="E6" s="125"/>
      <c r="F6" s="125">
        <f t="shared" si="0"/>
        <v>0</v>
      </c>
      <c r="G6" s="50">
        <v>0</v>
      </c>
      <c r="H6" s="50">
        <v>0</v>
      </c>
      <c r="I6" s="125">
        <f t="shared" si="1"/>
        <v>0</v>
      </c>
      <c r="J6" s="50"/>
      <c r="K6" s="50"/>
      <c r="L6" s="125">
        <f t="shared" si="2"/>
        <v>0</v>
      </c>
      <c r="M6" s="50">
        <v>0</v>
      </c>
      <c r="N6" s="50">
        <v>0</v>
      </c>
      <c r="O6" s="125">
        <f t="shared" si="3"/>
        <v>0</v>
      </c>
      <c r="P6" s="50">
        <v>0</v>
      </c>
      <c r="Q6" s="50">
        <v>0</v>
      </c>
      <c r="R6" s="125">
        <f t="shared" si="4"/>
        <v>0</v>
      </c>
      <c r="S6" s="50">
        <v>0</v>
      </c>
      <c r="T6" s="50">
        <v>0</v>
      </c>
      <c r="U6" s="125">
        <f t="shared" si="5"/>
        <v>0</v>
      </c>
      <c r="V6" s="50">
        <v>0</v>
      </c>
      <c r="W6" s="50">
        <v>0</v>
      </c>
      <c r="X6" s="125">
        <f t="shared" si="6"/>
        <v>0</v>
      </c>
      <c r="Y6" s="50">
        <v>0</v>
      </c>
      <c r="Z6" s="50">
        <v>0</v>
      </c>
      <c r="AA6" s="125">
        <f t="shared" ref="AA6:AA29" si="10">AB6+AC6</f>
        <v>-42</v>
      </c>
      <c r="AB6" s="50">
        <v>-42</v>
      </c>
      <c r="AC6" s="125"/>
      <c r="AD6" s="125">
        <f t="shared" ref="AD6:AD29" si="11">AE6+AF6</f>
        <v>686.87</v>
      </c>
      <c r="AE6" s="130">
        <f t="shared" si="7"/>
        <v>686.87</v>
      </c>
      <c r="AF6" s="130">
        <f t="shared" si="8"/>
        <v>0</v>
      </c>
    </row>
    <row r="7" s="122" customFormat="1" ht="34.5" customHeight="1" spans="1:32">
      <c r="A7" s="48">
        <v>204</v>
      </c>
      <c r="B7" s="49" t="s">
        <v>347</v>
      </c>
      <c r="C7" s="125">
        <f t="shared" si="9"/>
        <v>39290.6</v>
      </c>
      <c r="D7" s="50">
        <v>34421.6</v>
      </c>
      <c r="E7" s="125">
        <v>4869</v>
      </c>
      <c r="F7" s="125">
        <f t="shared" si="0"/>
        <v>1613.3</v>
      </c>
      <c r="G7" s="50">
        <v>1613.3</v>
      </c>
      <c r="H7" s="50">
        <v>0</v>
      </c>
      <c r="I7" s="125">
        <f t="shared" si="1"/>
        <v>0</v>
      </c>
      <c r="J7" s="50"/>
      <c r="K7" s="50"/>
      <c r="L7" s="125">
        <f t="shared" si="2"/>
        <v>-12000</v>
      </c>
      <c r="M7" s="50">
        <v>-12000</v>
      </c>
      <c r="N7" s="50">
        <v>0</v>
      </c>
      <c r="O7" s="125">
        <f t="shared" si="3"/>
        <v>0</v>
      </c>
      <c r="P7" s="50">
        <v>0</v>
      </c>
      <c r="Q7" s="50">
        <v>0</v>
      </c>
      <c r="R7" s="125">
        <f t="shared" si="4"/>
        <v>0</v>
      </c>
      <c r="S7" s="50">
        <v>0</v>
      </c>
      <c r="T7" s="50">
        <v>0</v>
      </c>
      <c r="U7" s="125">
        <f t="shared" si="5"/>
        <v>0</v>
      </c>
      <c r="V7" s="50">
        <v>0</v>
      </c>
      <c r="W7" s="50">
        <v>0</v>
      </c>
      <c r="X7" s="125">
        <f t="shared" si="6"/>
        <v>0</v>
      </c>
      <c r="Y7" s="50">
        <v>0</v>
      </c>
      <c r="Z7" s="50">
        <v>0</v>
      </c>
      <c r="AA7" s="125">
        <f t="shared" si="10"/>
        <v>-2000</v>
      </c>
      <c r="AB7" s="50">
        <v>-2000</v>
      </c>
      <c r="AC7" s="125"/>
      <c r="AD7" s="125">
        <f t="shared" si="11"/>
        <v>26903.9</v>
      </c>
      <c r="AE7" s="130">
        <f t="shared" si="7"/>
        <v>22034.9</v>
      </c>
      <c r="AF7" s="130">
        <f t="shared" si="8"/>
        <v>4869</v>
      </c>
    </row>
    <row r="8" s="122" customFormat="1" ht="34.5" customHeight="1" spans="1:32">
      <c r="A8" s="48">
        <v>205</v>
      </c>
      <c r="B8" s="49" t="s">
        <v>348</v>
      </c>
      <c r="C8" s="125">
        <f t="shared" si="9"/>
        <v>245808.83</v>
      </c>
      <c r="D8" s="50">
        <v>182060.83</v>
      </c>
      <c r="E8" s="125">
        <v>63748</v>
      </c>
      <c r="F8" s="125">
        <f t="shared" si="0"/>
        <v>5769.52</v>
      </c>
      <c r="G8" s="50">
        <v>5769.52</v>
      </c>
      <c r="H8" s="50">
        <v>0</v>
      </c>
      <c r="I8" s="125">
        <f t="shared" si="1"/>
        <v>0</v>
      </c>
      <c r="J8" s="50"/>
      <c r="K8" s="50"/>
      <c r="L8" s="125">
        <f t="shared" si="2"/>
        <v>8805</v>
      </c>
      <c r="M8" s="50">
        <v>0</v>
      </c>
      <c r="N8" s="50">
        <v>8805</v>
      </c>
      <c r="O8" s="125">
        <f t="shared" si="3"/>
        <v>0</v>
      </c>
      <c r="P8" s="50">
        <v>0</v>
      </c>
      <c r="Q8" s="50">
        <v>0</v>
      </c>
      <c r="R8" s="125">
        <f t="shared" si="4"/>
        <v>0</v>
      </c>
      <c r="S8" s="50">
        <v>0</v>
      </c>
      <c r="T8" s="50">
        <v>0</v>
      </c>
      <c r="U8" s="125">
        <f t="shared" si="5"/>
        <v>0</v>
      </c>
      <c r="V8" s="50">
        <v>0</v>
      </c>
      <c r="W8" s="50">
        <v>0</v>
      </c>
      <c r="X8" s="125">
        <f t="shared" si="6"/>
        <v>0</v>
      </c>
      <c r="Y8" s="50">
        <v>0</v>
      </c>
      <c r="Z8" s="50">
        <v>0</v>
      </c>
      <c r="AA8" s="125">
        <f t="shared" si="10"/>
        <v>-29300</v>
      </c>
      <c r="AB8" s="50">
        <v>-26500</v>
      </c>
      <c r="AC8" s="125">
        <v>-2800</v>
      </c>
      <c r="AD8" s="125">
        <f t="shared" si="11"/>
        <v>231083.35</v>
      </c>
      <c r="AE8" s="130">
        <f t="shared" si="7"/>
        <v>161330.35</v>
      </c>
      <c r="AF8" s="130">
        <f t="shared" si="8"/>
        <v>69753</v>
      </c>
    </row>
    <row r="9" s="122" customFormat="1" ht="34.5" customHeight="1" spans="1:32">
      <c r="A9" s="48">
        <v>206</v>
      </c>
      <c r="B9" s="49" t="s">
        <v>349</v>
      </c>
      <c r="C9" s="125">
        <f t="shared" si="9"/>
        <v>26050.08</v>
      </c>
      <c r="D9" s="50">
        <v>6794.08</v>
      </c>
      <c r="E9" s="125">
        <v>19256</v>
      </c>
      <c r="F9" s="125">
        <f t="shared" si="0"/>
        <v>510</v>
      </c>
      <c r="G9" s="50">
        <v>510</v>
      </c>
      <c r="H9" s="50">
        <v>0</v>
      </c>
      <c r="I9" s="125">
        <f t="shared" si="1"/>
        <v>0</v>
      </c>
      <c r="J9" s="50"/>
      <c r="K9" s="50"/>
      <c r="L9" s="125">
        <f t="shared" si="2"/>
        <v>-1170</v>
      </c>
      <c r="M9" s="50">
        <v>-4000</v>
      </c>
      <c r="N9" s="50">
        <v>2830</v>
      </c>
      <c r="O9" s="125">
        <f t="shared" si="3"/>
        <v>0</v>
      </c>
      <c r="P9" s="50">
        <v>0</v>
      </c>
      <c r="Q9" s="50">
        <v>0</v>
      </c>
      <c r="R9" s="125">
        <f t="shared" si="4"/>
        <v>0</v>
      </c>
      <c r="S9" s="50">
        <v>0</v>
      </c>
      <c r="T9" s="50">
        <v>0</v>
      </c>
      <c r="U9" s="125">
        <f t="shared" si="5"/>
        <v>0</v>
      </c>
      <c r="V9" s="50">
        <v>0</v>
      </c>
      <c r="W9" s="50">
        <v>0</v>
      </c>
      <c r="X9" s="125">
        <f t="shared" si="6"/>
        <v>0</v>
      </c>
      <c r="Y9" s="50">
        <v>0</v>
      </c>
      <c r="Z9" s="50">
        <v>0</v>
      </c>
      <c r="AA9" s="125">
        <f t="shared" si="10"/>
        <v>-1100</v>
      </c>
      <c r="AB9" s="50">
        <v>-1100</v>
      </c>
      <c r="AC9" s="125">
        <v>0</v>
      </c>
      <c r="AD9" s="125">
        <f t="shared" si="11"/>
        <v>24290.08</v>
      </c>
      <c r="AE9" s="130">
        <f t="shared" si="7"/>
        <v>2204.08</v>
      </c>
      <c r="AF9" s="130">
        <f t="shared" si="8"/>
        <v>22086</v>
      </c>
    </row>
    <row r="10" s="122" customFormat="1" ht="34.5" customHeight="1" spans="1:32">
      <c r="A10" s="48">
        <v>207</v>
      </c>
      <c r="B10" s="49" t="s">
        <v>350</v>
      </c>
      <c r="C10" s="125">
        <f t="shared" si="9"/>
        <v>17408.61</v>
      </c>
      <c r="D10" s="50">
        <v>16752.61</v>
      </c>
      <c r="E10" s="125">
        <v>656</v>
      </c>
      <c r="F10" s="125">
        <f t="shared" si="0"/>
        <v>356.96</v>
      </c>
      <c r="G10" s="50">
        <v>356.96</v>
      </c>
      <c r="H10" s="50">
        <v>0</v>
      </c>
      <c r="I10" s="125">
        <f t="shared" si="1"/>
        <v>0</v>
      </c>
      <c r="J10" s="50"/>
      <c r="K10" s="50"/>
      <c r="L10" s="125">
        <f t="shared" si="2"/>
        <v>-8000</v>
      </c>
      <c r="M10" s="50">
        <v>-8000</v>
      </c>
      <c r="N10" s="50">
        <v>0</v>
      </c>
      <c r="O10" s="125">
        <f t="shared" si="3"/>
        <v>0</v>
      </c>
      <c r="P10" s="50">
        <v>0</v>
      </c>
      <c r="Q10" s="50">
        <v>0</v>
      </c>
      <c r="R10" s="125">
        <f t="shared" si="4"/>
        <v>0</v>
      </c>
      <c r="S10" s="50">
        <v>0</v>
      </c>
      <c r="T10" s="50">
        <v>0</v>
      </c>
      <c r="U10" s="125">
        <f t="shared" si="5"/>
        <v>0</v>
      </c>
      <c r="V10" s="50">
        <v>0</v>
      </c>
      <c r="W10" s="50">
        <v>0</v>
      </c>
      <c r="X10" s="125">
        <f t="shared" si="6"/>
        <v>0</v>
      </c>
      <c r="Y10" s="50">
        <v>0</v>
      </c>
      <c r="Z10" s="50">
        <v>0</v>
      </c>
      <c r="AA10" s="125">
        <f t="shared" si="10"/>
        <v>-1100</v>
      </c>
      <c r="AB10" s="50">
        <v>-1100</v>
      </c>
      <c r="AC10" s="125"/>
      <c r="AD10" s="125">
        <f t="shared" si="11"/>
        <v>8665.57</v>
      </c>
      <c r="AE10" s="130">
        <f t="shared" si="7"/>
        <v>8009.57</v>
      </c>
      <c r="AF10" s="130">
        <f t="shared" si="8"/>
        <v>656</v>
      </c>
    </row>
    <row r="11" s="122" customFormat="1" ht="34.5" customHeight="1" spans="1:32">
      <c r="A11" s="48">
        <v>208</v>
      </c>
      <c r="B11" s="49" t="s">
        <v>351</v>
      </c>
      <c r="C11" s="125">
        <f t="shared" si="9"/>
        <v>142124.495239</v>
      </c>
      <c r="D11" s="50">
        <v>123256.495239</v>
      </c>
      <c r="E11" s="125">
        <v>18868</v>
      </c>
      <c r="F11" s="125">
        <f t="shared" si="0"/>
        <v>20527.94432</v>
      </c>
      <c r="G11" s="50">
        <v>20527.94432</v>
      </c>
      <c r="H11" s="50">
        <v>0</v>
      </c>
      <c r="I11" s="125">
        <f t="shared" si="1"/>
        <v>0</v>
      </c>
      <c r="J11" s="50"/>
      <c r="K11" s="50"/>
      <c r="L11" s="125">
        <f t="shared" si="2"/>
        <v>-34388</v>
      </c>
      <c r="M11" s="50">
        <v>-40000</v>
      </c>
      <c r="N11" s="50">
        <v>5612</v>
      </c>
      <c r="O11" s="125">
        <f t="shared" si="3"/>
        <v>0</v>
      </c>
      <c r="P11" s="50">
        <v>0</v>
      </c>
      <c r="Q11" s="50">
        <v>0</v>
      </c>
      <c r="R11" s="125">
        <f t="shared" si="4"/>
        <v>0</v>
      </c>
      <c r="S11" s="50">
        <v>0</v>
      </c>
      <c r="T11" s="50">
        <v>0</v>
      </c>
      <c r="U11" s="125">
        <f t="shared" si="5"/>
        <v>0</v>
      </c>
      <c r="V11" s="50">
        <v>0</v>
      </c>
      <c r="W11" s="50">
        <v>0</v>
      </c>
      <c r="X11" s="125">
        <f t="shared" si="6"/>
        <v>0</v>
      </c>
      <c r="Y11" s="50">
        <v>0</v>
      </c>
      <c r="Z11" s="50">
        <v>0</v>
      </c>
      <c r="AA11" s="125">
        <f t="shared" si="10"/>
        <v>-15969</v>
      </c>
      <c r="AB11" s="50">
        <v>-9000</v>
      </c>
      <c r="AC11" s="125">
        <v>-6969</v>
      </c>
      <c r="AD11" s="125">
        <f t="shared" si="11"/>
        <v>112295.439559</v>
      </c>
      <c r="AE11" s="130">
        <f t="shared" si="7"/>
        <v>94784.439559</v>
      </c>
      <c r="AF11" s="130">
        <f t="shared" si="8"/>
        <v>17511</v>
      </c>
    </row>
    <row r="12" s="122" customFormat="1" ht="34.5" customHeight="1" spans="1:32">
      <c r="A12" s="48">
        <v>210</v>
      </c>
      <c r="B12" s="49" t="s">
        <v>352</v>
      </c>
      <c r="C12" s="125">
        <f t="shared" si="9"/>
        <v>110021.092236</v>
      </c>
      <c r="D12" s="50">
        <v>103441.092236</v>
      </c>
      <c r="E12" s="125">
        <v>6580</v>
      </c>
      <c r="F12" s="125">
        <f t="shared" si="0"/>
        <v>9491.522</v>
      </c>
      <c r="G12" s="50">
        <v>9491.522</v>
      </c>
      <c r="H12" s="50">
        <v>0</v>
      </c>
      <c r="I12" s="125">
        <f t="shared" si="1"/>
        <v>4500</v>
      </c>
      <c r="J12" s="50"/>
      <c r="K12" s="50">
        <v>4500</v>
      </c>
      <c r="L12" s="125">
        <f t="shared" si="2"/>
        <v>-30000</v>
      </c>
      <c r="M12" s="50">
        <v>-30000</v>
      </c>
      <c r="N12" s="50">
        <v>0</v>
      </c>
      <c r="O12" s="125">
        <f t="shared" si="3"/>
        <v>0</v>
      </c>
      <c r="P12" s="50">
        <v>0</v>
      </c>
      <c r="Q12" s="50">
        <v>0</v>
      </c>
      <c r="R12" s="125">
        <f t="shared" si="4"/>
        <v>0</v>
      </c>
      <c r="S12" s="50">
        <v>0</v>
      </c>
      <c r="T12" s="50">
        <v>0</v>
      </c>
      <c r="U12" s="125">
        <f t="shared" si="5"/>
        <v>0</v>
      </c>
      <c r="V12" s="50">
        <v>0</v>
      </c>
      <c r="W12" s="50">
        <v>0</v>
      </c>
      <c r="X12" s="125">
        <f t="shared" si="6"/>
        <v>0</v>
      </c>
      <c r="Y12" s="50">
        <v>0</v>
      </c>
      <c r="Z12" s="50">
        <v>0</v>
      </c>
      <c r="AA12" s="125">
        <f t="shared" si="10"/>
        <v>1122</v>
      </c>
      <c r="AB12" s="50">
        <v>-8000</v>
      </c>
      <c r="AC12" s="125">
        <v>9122</v>
      </c>
      <c r="AD12" s="125">
        <f t="shared" si="11"/>
        <v>95134.614236</v>
      </c>
      <c r="AE12" s="130">
        <f t="shared" si="7"/>
        <v>74932.614236</v>
      </c>
      <c r="AF12" s="130">
        <f t="shared" si="8"/>
        <v>20202</v>
      </c>
    </row>
    <row r="13" s="122" customFormat="1" ht="34.5" customHeight="1" spans="1:32">
      <c r="A13" s="48">
        <v>211</v>
      </c>
      <c r="B13" s="49" t="s">
        <v>353</v>
      </c>
      <c r="C13" s="125">
        <f t="shared" si="9"/>
        <v>11513.45</v>
      </c>
      <c r="D13" s="50">
        <v>8335.45</v>
      </c>
      <c r="E13" s="125">
        <v>3178</v>
      </c>
      <c r="F13" s="125">
        <f t="shared" si="0"/>
        <v>983.14</v>
      </c>
      <c r="G13" s="50">
        <v>983.14</v>
      </c>
      <c r="H13" s="50"/>
      <c r="I13" s="125">
        <f t="shared" si="1"/>
        <v>0</v>
      </c>
      <c r="J13" s="50"/>
      <c r="K13" s="50"/>
      <c r="L13" s="125">
        <f t="shared" si="2"/>
        <v>0</v>
      </c>
      <c r="M13" s="50">
        <v>0</v>
      </c>
      <c r="N13" s="50">
        <v>0</v>
      </c>
      <c r="O13" s="125">
        <f t="shared" si="3"/>
        <v>0</v>
      </c>
      <c r="P13" s="50">
        <v>0</v>
      </c>
      <c r="Q13" s="50">
        <v>0</v>
      </c>
      <c r="R13" s="125">
        <f t="shared" si="4"/>
        <v>5337.81</v>
      </c>
      <c r="S13" s="50">
        <v>5337.81</v>
      </c>
      <c r="T13" s="50">
        <v>0</v>
      </c>
      <c r="U13" s="125">
        <f t="shared" si="5"/>
        <v>0</v>
      </c>
      <c r="V13" s="50">
        <v>0</v>
      </c>
      <c r="W13" s="50">
        <v>0</v>
      </c>
      <c r="X13" s="125">
        <f t="shared" si="6"/>
        <v>0</v>
      </c>
      <c r="Y13" s="50">
        <v>0</v>
      </c>
      <c r="Z13" s="50">
        <v>0</v>
      </c>
      <c r="AA13" s="125">
        <f t="shared" si="10"/>
        <v>-711</v>
      </c>
      <c r="AB13" s="50">
        <v>300</v>
      </c>
      <c r="AC13" s="125">
        <v>-1011</v>
      </c>
      <c r="AD13" s="125">
        <f t="shared" si="11"/>
        <v>17123.4</v>
      </c>
      <c r="AE13" s="130">
        <f t="shared" si="7"/>
        <v>14956.4</v>
      </c>
      <c r="AF13" s="130">
        <f t="shared" si="8"/>
        <v>2167</v>
      </c>
    </row>
    <row r="14" s="122" customFormat="1" ht="34.5" customHeight="1" spans="1:32">
      <c r="A14" s="48">
        <v>212</v>
      </c>
      <c r="B14" s="49" t="s">
        <v>354</v>
      </c>
      <c r="C14" s="125">
        <f t="shared" si="9"/>
        <v>148031.461623</v>
      </c>
      <c r="D14" s="50">
        <v>84885.461623</v>
      </c>
      <c r="E14" s="125">
        <v>63146</v>
      </c>
      <c r="F14" s="125">
        <f t="shared" si="0"/>
        <v>765</v>
      </c>
      <c r="G14" s="50">
        <f>3399-1684</f>
        <v>1715</v>
      </c>
      <c r="H14" s="50">
        <v>-950</v>
      </c>
      <c r="I14" s="125">
        <f t="shared" si="1"/>
        <v>15000</v>
      </c>
      <c r="J14" s="50">
        <v>15000</v>
      </c>
      <c r="K14" s="50"/>
      <c r="L14" s="125">
        <f t="shared" si="2"/>
        <v>19584</v>
      </c>
      <c r="M14" s="50">
        <f>-7203-1684</f>
        <v>-8887</v>
      </c>
      <c r="N14" s="50">
        <v>28471</v>
      </c>
      <c r="O14" s="125">
        <f t="shared" si="3"/>
        <v>0</v>
      </c>
      <c r="P14" s="50"/>
      <c r="Q14" s="50">
        <v>0</v>
      </c>
      <c r="R14" s="125">
        <f t="shared" si="4"/>
        <v>150726</v>
      </c>
      <c r="S14" s="50">
        <v>150726</v>
      </c>
      <c r="T14" s="50"/>
      <c r="U14" s="125">
        <f t="shared" si="5"/>
        <v>51630</v>
      </c>
      <c r="V14" s="50">
        <f>25032+26598</f>
        <v>51630</v>
      </c>
      <c r="W14" s="50">
        <v>0</v>
      </c>
      <c r="X14" s="125">
        <f t="shared" si="6"/>
        <v>0</v>
      </c>
      <c r="Y14" s="50"/>
      <c r="Z14" s="50">
        <v>0</v>
      </c>
      <c r="AA14" s="125">
        <f t="shared" si="10"/>
        <v>93204</v>
      </c>
      <c r="AB14" s="50">
        <v>90404</v>
      </c>
      <c r="AC14" s="125">
        <v>2800</v>
      </c>
      <c r="AD14" s="125">
        <f t="shared" si="11"/>
        <v>478940.461623</v>
      </c>
      <c r="AE14" s="130">
        <f t="shared" si="7"/>
        <v>385473.461623</v>
      </c>
      <c r="AF14" s="130">
        <f t="shared" si="8"/>
        <v>93467</v>
      </c>
    </row>
    <row r="15" s="122" customFormat="1" ht="34.5" customHeight="1" spans="1:32">
      <c r="A15" s="48">
        <v>213</v>
      </c>
      <c r="B15" s="49" t="s">
        <v>355</v>
      </c>
      <c r="C15" s="125">
        <f t="shared" si="9"/>
        <v>45439.97</v>
      </c>
      <c r="D15" s="50">
        <v>43428.97</v>
      </c>
      <c r="E15" s="125">
        <v>2011</v>
      </c>
      <c r="F15" s="125">
        <f t="shared" si="0"/>
        <v>14245.0943</v>
      </c>
      <c r="G15" s="50">
        <v>14245.0943</v>
      </c>
      <c r="H15" s="50"/>
      <c r="I15" s="125">
        <f t="shared" si="1"/>
        <v>0</v>
      </c>
      <c r="J15" s="50"/>
      <c r="K15" s="50"/>
      <c r="L15" s="125">
        <f t="shared" si="2"/>
        <v>-17000</v>
      </c>
      <c r="M15" s="50">
        <v>-17000</v>
      </c>
      <c r="N15" s="50">
        <v>0</v>
      </c>
      <c r="O15" s="125">
        <f t="shared" si="3"/>
        <v>0</v>
      </c>
      <c r="P15" s="50">
        <v>0</v>
      </c>
      <c r="Q15" s="50">
        <v>0</v>
      </c>
      <c r="R15" s="125">
        <f t="shared" si="4"/>
        <v>1907.4</v>
      </c>
      <c r="S15" s="50">
        <v>1907.4</v>
      </c>
      <c r="T15" s="50">
        <v>0</v>
      </c>
      <c r="U15" s="125">
        <f t="shared" si="5"/>
        <v>0</v>
      </c>
      <c r="V15" s="50">
        <v>0</v>
      </c>
      <c r="W15" s="50">
        <v>0</v>
      </c>
      <c r="X15" s="125">
        <f t="shared" si="6"/>
        <v>0</v>
      </c>
      <c r="Y15" s="50">
        <v>0</v>
      </c>
      <c r="Z15" s="50">
        <v>0</v>
      </c>
      <c r="AA15" s="125">
        <f t="shared" si="10"/>
        <v>-11500</v>
      </c>
      <c r="AB15" s="50">
        <v>-11500</v>
      </c>
      <c r="AC15" s="125"/>
      <c r="AD15" s="125">
        <f t="shared" si="11"/>
        <v>33092.4643</v>
      </c>
      <c r="AE15" s="130">
        <f t="shared" si="7"/>
        <v>31081.4643</v>
      </c>
      <c r="AF15" s="130">
        <f t="shared" si="8"/>
        <v>2011</v>
      </c>
    </row>
    <row r="16" s="122" customFormat="1" ht="34.5" customHeight="1" spans="1:32">
      <c r="A16" s="48">
        <v>214</v>
      </c>
      <c r="B16" s="49" t="s">
        <v>356</v>
      </c>
      <c r="C16" s="125">
        <f t="shared" si="9"/>
        <v>11297.92</v>
      </c>
      <c r="D16" s="50">
        <v>10264.92</v>
      </c>
      <c r="E16" s="125">
        <v>1033</v>
      </c>
      <c r="F16" s="125">
        <f t="shared" si="0"/>
        <v>2112.94</v>
      </c>
      <c r="G16" s="50">
        <v>2112.94</v>
      </c>
      <c r="H16" s="50"/>
      <c r="I16" s="125">
        <f t="shared" si="1"/>
        <v>0</v>
      </c>
      <c r="J16" s="50"/>
      <c r="K16" s="50"/>
      <c r="L16" s="125">
        <f t="shared" si="2"/>
        <v>1000</v>
      </c>
      <c r="M16" s="50">
        <v>0</v>
      </c>
      <c r="N16" s="50">
        <v>1000</v>
      </c>
      <c r="O16" s="125">
        <f t="shared" si="3"/>
        <v>0</v>
      </c>
      <c r="P16" s="50">
        <v>0</v>
      </c>
      <c r="Q16" s="50">
        <v>0</v>
      </c>
      <c r="R16" s="125">
        <f t="shared" si="4"/>
        <v>0</v>
      </c>
      <c r="S16" s="50">
        <v>0</v>
      </c>
      <c r="T16" s="50">
        <v>0</v>
      </c>
      <c r="U16" s="125">
        <f t="shared" si="5"/>
        <v>0</v>
      </c>
      <c r="V16" s="50">
        <v>0</v>
      </c>
      <c r="W16" s="50">
        <v>0</v>
      </c>
      <c r="X16" s="125">
        <f t="shared" si="6"/>
        <v>0</v>
      </c>
      <c r="Y16" s="50">
        <v>0</v>
      </c>
      <c r="Z16" s="50">
        <v>0</v>
      </c>
      <c r="AA16" s="125">
        <f t="shared" si="10"/>
        <v>-6000</v>
      </c>
      <c r="AB16" s="50">
        <v>-6000</v>
      </c>
      <c r="AC16" s="125">
        <v>0</v>
      </c>
      <c r="AD16" s="125">
        <f t="shared" si="11"/>
        <v>8410.86</v>
      </c>
      <c r="AE16" s="130">
        <f t="shared" si="7"/>
        <v>6377.86</v>
      </c>
      <c r="AF16" s="130">
        <f t="shared" si="8"/>
        <v>2033</v>
      </c>
    </row>
    <row r="17" s="122" customFormat="1" ht="34.5" customHeight="1" spans="1:32">
      <c r="A17" s="48">
        <v>215</v>
      </c>
      <c r="B17" s="49" t="s">
        <v>357</v>
      </c>
      <c r="C17" s="125">
        <f t="shared" si="9"/>
        <v>11081.1071</v>
      </c>
      <c r="D17" s="50">
        <v>6079.1071</v>
      </c>
      <c r="E17" s="125">
        <v>5002</v>
      </c>
      <c r="F17" s="125">
        <f t="shared" si="0"/>
        <v>0</v>
      </c>
      <c r="G17" s="50"/>
      <c r="H17" s="50"/>
      <c r="I17" s="125">
        <f t="shared" si="1"/>
        <v>0</v>
      </c>
      <c r="J17" s="50"/>
      <c r="K17" s="50"/>
      <c r="L17" s="125">
        <f t="shared" si="2"/>
        <v>232</v>
      </c>
      <c r="M17" s="50">
        <v>0</v>
      </c>
      <c r="N17" s="50">
        <v>232</v>
      </c>
      <c r="O17" s="125">
        <f t="shared" si="3"/>
        <v>0</v>
      </c>
      <c r="P17" s="50">
        <v>0</v>
      </c>
      <c r="Q17" s="50">
        <v>0</v>
      </c>
      <c r="R17" s="125">
        <f t="shared" si="4"/>
        <v>0</v>
      </c>
      <c r="S17" s="50">
        <v>0</v>
      </c>
      <c r="T17" s="50">
        <v>0</v>
      </c>
      <c r="U17" s="125">
        <f t="shared" si="5"/>
        <v>0</v>
      </c>
      <c r="V17" s="50">
        <v>0</v>
      </c>
      <c r="W17" s="50">
        <v>0</v>
      </c>
      <c r="X17" s="125">
        <f t="shared" si="6"/>
        <v>0</v>
      </c>
      <c r="Y17" s="50">
        <v>0</v>
      </c>
      <c r="Z17" s="50">
        <v>0</v>
      </c>
      <c r="AA17" s="125">
        <f t="shared" si="10"/>
        <v>-2300</v>
      </c>
      <c r="AB17" s="50">
        <v>-2300</v>
      </c>
      <c r="AC17" s="125">
        <v>0</v>
      </c>
      <c r="AD17" s="125">
        <f t="shared" si="11"/>
        <v>9013.1071</v>
      </c>
      <c r="AE17" s="130">
        <f t="shared" si="7"/>
        <v>3779.1071</v>
      </c>
      <c r="AF17" s="130">
        <f t="shared" si="8"/>
        <v>5234</v>
      </c>
    </row>
    <row r="18" s="122" customFormat="1" ht="34.5" customHeight="1" spans="1:32">
      <c r="A18" s="48">
        <v>216</v>
      </c>
      <c r="B18" s="49" t="s">
        <v>358</v>
      </c>
      <c r="C18" s="125">
        <f t="shared" si="9"/>
        <v>34526.48</v>
      </c>
      <c r="D18" s="50">
        <v>34226.48</v>
      </c>
      <c r="E18" s="125">
        <v>300</v>
      </c>
      <c r="F18" s="125">
        <f t="shared" si="0"/>
        <v>112</v>
      </c>
      <c r="G18" s="50">
        <v>112</v>
      </c>
      <c r="H18" s="50"/>
      <c r="I18" s="125">
        <f t="shared" si="1"/>
        <v>0</v>
      </c>
      <c r="J18" s="50"/>
      <c r="K18" s="50"/>
      <c r="L18" s="125">
        <f t="shared" si="2"/>
        <v>-12000</v>
      </c>
      <c r="M18" s="50">
        <v>-12000</v>
      </c>
      <c r="N18" s="50">
        <v>0</v>
      </c>
      <c r="O18" s="125">
        <f t="shared" si="3"/>
        <v>0</v>
      </c>
      <c r="P18" s="50">
        <v>0</v>
      </c>
      <c r="Q18" s="50">
        <v>0</v>
      </c>
      <c r="R18" s="125">
        <f t="shared" si="4"/>
        <v>0</v>
      </c>
      <c r="S18" s="50">
        <v>0</v>
      </c>
      <c r="T18" s="50">
        <v>0</v>
      </c>
      <c r="U18" s="125">
        <f t="shared" si="5"/>
        <v>0</v>
      </c>
      <c r="V18" s="50">
        <v>0</v>
      </c>
      <c r="W18" s="50">
        <v>0</v>
      </c>
      <c r="X18" s="125">
        <f t="shared" si="6"/>
        <v>0</v>
      </c>
      <c r="Y18" s="50">
        <v>0</v>
      </c>
      <c r="Z18" s="50">
        <v>0</v>
      </c>
      <c r="AA18" s="125">
        <f t="shared" si="10"/>
        <v>-4732</v>
      </c>
      <c r="AB18" s="50">
        <v>-4500</v>
      </c>
      <c r="AC18" s="125">
        <v>-232</v>
      </c>
      <c r="AD18" s="125">
        <f t="shared" si="11"/>
        <v>17906.48</v>
      </c>
      <c r="AE18" s="130">
        <f t="shared" si="7"/>
        <v>17838.48</v>
      </c>
      <c r="AF18" s="130">
        <f t="shared" si="8"/>
        <v>68</v>
      </c>
    </row>
    <row r="19" s="122" customFormat="1" ht="34.5" customHeight="1" spans="1:32">
      <c r="A19" s="48">
        <v>217</v>
      </c>
      <c r="B19" s="49" t="s">
        <v>359</v>
      </c>
      <c r="C19" s="125">
        <f t="shared" si="9"/>
        <v>6000</v>
      </c>
      <c r="D19" s="50"/>
      <c r="E19" s="125">
        <v>6000</v>
      </c>
      <c r="F19" s="125">
        <v>0</v>
      </c>
      <c r="G19" s="50"/>
      <c r="H19" s="50"/>
      <c r="I19" s="125">
        <v>0</v>
      </c>
      <c r="J19" s="50"/>
      <c r="K19" s="50"/>
      <c r="L19" s="125">
        <v>0</v>
      </c>
      <c r="M19" s="50">
        <v>0</v>
      </c>
      <c r="N19" s="50">
        <v>930</v>
      </c>
      <c r="O19" s="125">
        <v>0</v>
      </c>
      <c r="P19" s="50">
        <v>0</v>
      </c>
      <c r="Q19" s="50">
        <v>0</v>
      </c>
      <c r="R19" s="125">
        <v>0</v>
      </c>
      <c r="S19" s="50">
        <v>0</v>
      </c>
      <c r="T19" s="50">
        <v>0</v>
      </c>
      <c r="U19" s="125">
        <v>0</v>
      </c>
      <c r="V19" s="50">
        <v>0</v>
      </c>
      <c r="W19" s="50">
        <v>0</v>
      </c>
      <c r="X19" s="125">
        <v>0</v>
      </c>
      <c r="Y19" s="50">
        <v>0</v>
      </c>
      <c r="Z19" s="50">
        <v>0</v>
      </c>
      <c r="AA19" s="125">
        <f t="shared" si="10"/>
        <v>0</v>
      </c>
      <c r="AB19" s="50"/>
      <c r="AC19" s="125">
        <v>0</v>
      </c>
      <c r="AD19" s="125">
        <f t="shared" si="11"/>
        <v>6930</v>
      </c>
      <c r="AE19" s="130">
        <v>0</v>
      </c>
      <c r="AF19" s="130">
        <f t="shared" si="8"/>
        <v>6930</v>
      </c>
    </row>
    <row r="20" s="122" customFormat="1" ht="34.5" hidden="1" customHeight="1" spans="1:32">
      <c r="A20" s="48">
        <v>219</v>
      </c>
      <c r="B20" s="49" t="s">
        <v>360</v>
      </c>
      <c r="C20" s="125">
        <f t="shared" si="9"/>
        <v>0</v>
      </c>
      <c r="D20" s="50"/>
      <c r="E20" s="125"/>
      <c r="F20" s="125">
        <f t="shared" ref="F20:F29" si="12">G20+H20</f>
        <v>0</v>
      </c>
      <c r="G20" s="50"/>
      <c r="H20" s="50"/>
      <c r="I20" s="125">
        <f t="shared" ref="I20:I29" si="13">J20+K20</f>
        <v>0</v>
      </c>
      <c r="J20" s="50"/>
      <c r="K20" s="50"/>
      <c r="L20" s="125">
        <f t="shared" ref="L20:L29" si="14">M20+N20</f>
        <v>0</v>
      </c>
      <c r="M20" s="50">
        <v>0</v>
      </c>
      <c r="N20" s="50">
        <v>0</v>
      </c>
      <c r="O20" s="125">
        <f t="shared" ref="O20:O29" si="15">P20+Q20</f>
        <v>0</v>
      </c>
      <c r="P20" s="50">
        <v>0</v>
      </c>
      <c r="Q20" s="50">
        <v>0</v>
      </c>
      <c r="R20" s="125">
        <f t="shared" ref="R20:R29" si="16">S20+T20</f>
        <v>0</v>
      </c>
      <c r="S20" s="50">
        <v>0</v>
      </c>
      <c r="T20" s="50">
        <v>0</v>
      </c>
      <c r="U20" s="125">
        <f t="shared" ref="U20:U29" si="17">V20+W20</f>
        <v>0</v>
      </c>
      <c r="V20" s="50">
        <v>0</v>
      </c>
      <c r="W20" s="50">
        <v>0</v>
      </c>
      <c r="X20" s="125">
        <f t="shared" ref="X20:X29" si="18">Y20+Z20</f>
        <v>0</v>
      </c>
      <c r="Y20" s="50">
        <v>0</v>
      </c>
      <c r="Z20" s="50">
        <v>0</v>
      </c>
      <c r="AA20" s="125">
        <f t="shared" si="10"/>
        <v>0</v>
      </c>
      <c r="AB20" s="50"/>
      <c r="AC20" s="125"/>
      <c r="AD20" s="125">
        <f t="shared" si="11"/>
        <v>0</v>
      </c>
      <c r="AE20" s="130">
        <v>0</v>
      </c>
      <c r="AF20" s="130">
        <f t="shared" si="8"/>
        <v>0</v>
      </c>
    </row>
    <row r="21" s="122" customFormat="1" ht="34.5" customHeight="1" spans="1:32">
      <c r="A21" s="48">
        <v>220</v>
      </c>
      <c r="B21" s="49" t="s">
        <v>361</v>
      </c>
      <c r="C21" s="125">
        <f t="shared" si="9"/>
        <v>19099.41</v>
      </c>
      <c r="D21" s="50">
        <v>15988.41</v>
      </c>
      <c r="E21" s="125">
        <v>3111</v>
      </c>
      <c r="F21" s="125">
        <f t="shared" si="12"/>
        <v>196.85</v>
      </c>
      <c r="G21" s="50">
        <v>196.85</v>
      </c>
      <c r="H21" s="50"/>
      <c r="I21" s="125">
        <f t="shared" si="13"/>
        <v>0</v>
      </c>
      <c r="J21" s="50"/>
      <c r="K21" s="50"/>
      <c r="L21" s="125">
        <f t="shared" si="14"/>
        <v>0</v>
      </c>
      <c r="M21" s="50">
        <v>0</v>
      </c>
      <c r="N21" s="50">
        <v>0</v>
      </c>
      <c r="O21" s="125">
        <f t="shared" si="15"/>
        <v>0</v>
      </c>
      <c r="P21" s="50">
        <v>0</v>
      </c>
      <c r="Q21" s="50">
        <v>0</v>
      </c>
      <c r="R21" s="125">
        <f t="shared" si="16"/>
        <v>2029.12</v>
      </c>
      <c r="S21" s="50">
        <v>2029.12</v>
      </c>
      <c r="T21" s="50">
        <v>0</v>
      </c>
      <c r="U21" s="125">
        <f t="shared" si="17"/>
        <v>0</v>
      </c>
      <c r="V21" s="50">
        <v>0</v>
      </c>
      <c r="W21" s="50">
        <v>0</v>
      </c>
      <c r="X21" s="125">
        <f t="shared" si="18"/>
        <v>0</v>
      </c>
      <c r="Y21" s="50">
        <v>0</v>
      </c>
      <c r="Z21" s="50">
        <v>0</v>
      </c>
      <c r="AA21" s="125">
        <f t="shared" si="10"/>
        <v>-6000</v>
      </c>
      <c r="AB21" s="50">
        <v>-6000</v>
      </c>
      <c r="AC21" s="125"/>
      <c r="AD21" s="125">
        <f t="shared" si="11"/>
        <v>15325.38</v>
      </c>
      <c r="AE21" s="130">
        <f t="shared" ref="AE21:AE28" si="19">D21+G21+J21+M21+P21+S21+V21+Y21+AB21</f>
        <v>12214.38</v>
      </c>
      <c r="AF21" s="130">
        <f t="shared" si="8"/>
        <v>3111</v>
      </c>
    </row>
    <row r="22" s="122" customFormat="1" ht="34.5" customHeight="1" spans="1:32">
      <c r="A22" s="48">
        <v>221</v>
      </c>
      <c r="B22" s="49" t="s">
        <v>362</v>
      </c>
      <c r="C22" s="125">
        <f t="shared" si="9"/>
        <v>10517.02</v>
      </c>
      <c r="D22" s="50">
        <v>8213.02</v>
      </c>
      <c r="E22" s="125">
        <v>2304</v>
      </c>
      <c r="F22" s="125">
        <f t="shared" si="12"/>
        <v>3648</v>
      </c>
      <c r="G22" s="50">
        <v>3648</v>
      </c>
      <c r="H22" s="50"/>
      <c r="I22" s="125">
        <f t="shared" si="13"/>
        <v>0</v>
      </c>
      <c r="J22" s="50"/>
      <c r="K22" s="50"/>
      <c r="L22" s="125">
        <f t="shared" si="14"/>
        <v>0</v>
      </c>
      <c r="M22" s="50">
        <v>0</v>
      </c>
      <c r="N22" s="50">
        <v>0</v>
      </c>
      <c r="O22" s="125">
        <f t="shared" si="15"/>
        <v>0</v>
      </c>
      <c r="P22" s="50">
        <v>0</v>
      </c>
      <c r="Q22" s="50">
        <v>0</v>
      </c>
      <c r="R22" s="125">
        <f t="shared" si="16"/>
        <v>0</v>
      </c>
      <c r="S22" s="50">
        <v>0</v>
      </c>
      <c r="T22" s="50">
        <v>0</v>
      </c>
      <c r="U22" s="125">
        <f t="shared" si="17"/>
        <v>0</v>
      </c>
      <c r="V22" s="50">
        <v>0</v>
      </c>
      <c r="W22" s="50">
        <v>0</v>
      </c>
      <c r="X22" s="125">
        <f t="shared" si="18"/>
        <v>0</v>
      </c>
      <c r="Y22" s="50">
        <v>0</v>
      </c>
      <c r="Z22" s="50">
        <v>0</v>
      </c>
      <c r="AA22" s="125">
        <f t="shared" si="10"/>
        <v>700</v>
      </c>
      <c r="AB22" s="50">
        <v>700</v>
      </c>
      <c r="AC22" s="125"/>
      <c r="AD22" s="125">
        <f t="shared" si="11"/>
        <v>14865.02</v>
      </c>
      <c r="AE22" s="130">
        <f t="shared" si="19"/>
        <v>12561.02</v>
      </c>
      <c r="AF22" s="130">
        <f t="shared" si="8"/>
        <v>2304</v>
      </c>
    </row>
    <row r="23" s="122" customFormat="1" ht="34.5" customHeight="1" spans="1:32">
      <c r="A23" s="48">
        <v>222</v>
      </c>
      <c r="B23" s="49" t="s">
        <v>363</v>
      </c>
      <c r="C23" s="125">
        <f t="shared" si="9"/>
        <v>2556</v>
      </c>
      <c r="D23" s="50">
        <v>2556</v>
      </c>
      <c r="E23" s="125"/>
      <c r="F23" s="125">
        <f t="shared" si="12"/>
        <v>0</v>
      </c>
      <c r="G23" s="50"/>
      <c r="H23" s="50"/>
      <c r="I23" s="125">
        <f t="shared" si="13"/>
        <v>0</v>
      </c>
      <c r="J23" s="50"/>
      <c r="K23" s="50"/>
      <c r="L23" s="125">
        <f t="shared" si="14"/>
        <v>0</v>
      </c>
      <c r="M23" s="50">
        <v>0</v>
      </c>
      <c r="N23" s="50">
        <v>0</v>
      </c>
      <c r="O23" s="125">
        <f t="shared" si="15"/>
        <v>0</v>
      </c>
      <c r="P23" s="50">
        <v>0</v>
      </c>
      <c r="Q23" s="50">
        <v>0</v>
      </c>
      <c r="R23" s="125">
        <f t="shared" si="16"/>
        <v>0</v>
      </c>
      <c r="S23" s="50">
        <v>0</v>
      </c>
      <c r="T23" s="50">
        <v>0</v>
      </c>
      <c r="U23" s="125">
        <f t="shared" si="17"/>
        <v>0</v>
      </c>
      <c r="V23" s="50">
        <v>0</v>
      </c>
      <c r="W23" s="50">
        <v>0</v>
      </c>
      <c r="X23" s="125">
        <f t="shared" si="18"/>
        <v>0</v>
      </c>
      <c r="Y23" s="50">
        <v>0</v>
      </c>
      <c r="Z23" s="50">
        <v>0</v>
      </c>
      <c r="AA23" s="125">
        <f t="shared" si="10"/>
        <v>-800</v>
      </c>
      <c r="AB23" s="50">
        <v>-800</v>
      </c>
      <c r="AC23" s="50"/>
      <c r="AD23" s="125">
        <f t="shared" si="11"/>
        <v>1756</v>
      </c>
      <c r="AE23" s="130">
        <f t="shared" si="19"/>
        <v>1756</v>
      </c>
      <c r="AF23" s="130">
        <f t="shared" si="8"/>
        <v>0</v>
      </c>
    </row>
    <row r="24" s="122" customFormat="1" ht="35.1" customHeight="1" spans="1:32">
      <c r="A24" s="48">
        <v>224</v>
      </c>
      <c r="B24" s="49" t="s">
        <v>364</v>
      </c>
      <c r="C24" s="125">
        <f t="shared" si="9"/>
        <v>5960.23</v>
      </c>
      <c r="D24" s="50">
        <v>5238.23</v>
      </c>
      <c r="E24" s="125">
        <v>722</v>
      </c>
      <c r="F24" s="125">
        <f t="shared" si="12"/>
        <v>350</v>
      </c>
      <c r="G24" s="50">
        <v>350</v>
      </c>
      <c r="H24" s="50"/>
      <c r="I24" s="125">
        <f t="shared" si="13"/>
        <v>0</v>
      </c>
      <c r="J24" s="50"/>
      <c r="K24" s="50"/>
      <c r="L24" s="125">
        <f t="shared" si="14"/>
        <v>0</v>
      </c>
      <c r="M24" s="50">
        <v>0</v>
      </c>
      <c r="N24" s="50">
        <v>0</v>
      </c>
      <c r="O24" s="125">
        <f t="shared" si="15"/>
        <v>0</v>
      </c>
      <c r="P24" s="50">
        <v>0</v>
      </c>
      <c r="Q24" s="50">
        <v>0</v>
      </c>
      <c r="R24" s="125">
        <f t="shared" si="16"/>
        <v>0</v>
      </c>
      <c r="S24" s="50">
        <v>0</v>
      </c>
      <c r="T24" s="50">
        <v>0</v>
      </c>
      <c r="U24" s="125">
        <f t="shared" si="17"/>
        <v>0</v>
      </c>
      <c r="V24" s="50">
        <v>0</v>
      </c>
      <c r="W24" s="50">
        <v>0</v>
      </c>
      <c r="X24" s="125">
        <f t="shared" si="18"/>
        <v>0</v>
      </c>
      <c r="Y24" s="50">
        <v>0</v>
      </c>
      <c r="Z24" s="50">
        <v>0</v>
      </c>
      <c r="AA24" s="125">
        <f t="shared" si="10"/>
        <v>-2200</v>
      </c>
      <c r="AB24" s="50">
        <v>-2200</v>
      </c>
      <c r="AC24" s="50"/>
      <c r="AD24" s="125">
        <f t="shared" si="11"/>
        <v>4110.23</v>
      </c>
      <c r="AE24" s="130">
        <f t="shared" si="19"/>
        <v>3388.23</v>
      </c>
      <c r="AF24" s="130">
        <f t="shared" si="8"/>
        <v>722</v>
      </c>
    </row>
    <row r="25" s="122" customFormat="1" ht="35.1" customHeight="1" spans="1:32">
      <c r="A25" s="48">
        <v>227</v>
      </c>
      <c r="B25" s="49" t="s">
        <v>365</v>
      </c>
      <c r="C25" s="125">
        <f t="shared" si="9"/>
        <v>19500</v>
      </c>
      <c r="D25" s="50">
        <v>15000</v>
      </c>
      <c r="E25" s="125">
        <v>4500</v>
      </c>
      <c r="F25" s="125">
        <f t="shared" si="12"/>
        <v>0</v>
      </c>
      <c r="G25" s="50"/>
      <c r="H25" s="50"/>
      <c r="I25" s="125">
        <f t="shared" si="13"/>
        <v>-19500</v>
      </c>
      <c r="J25" s="50">
        <v>-15000</v>
      </c>
      <c r="K25" s="50">
        <v>-4500</v>
      </c>
      <c r="L25" s="125">
        <f t="shared" si="14"/>
        <v>0</v>
      </c>
      <c r="M25" s="50">
        <v>0</v>
      </c>
      <c r="N25" s="50">
        <v>0</v>
      </c>
      <c r="O25" s="125">
        <f t="shared" si="15"/>
        <v>0</v>
      </c>
      <c r="P25" s="50">
        <v>0</v>
      </c>
      <c r="Q25" s="50">
        <v>0</v>
      </c>
      <c r="R25" s="125">
        <f t="shared" si="16"/>
        <v>0</v>
      </c>
      <c r="S25" s="50">
        <v>0</v>
      </c>
      <c r="T25" s="50">
        <v>0</v>
      </c>
      <c r="U25" s="125">
        <f t="shared" si="17"/>
        <v>0</v>
      </c>
      <c r="V25" s="50">
        <v>0</v>
      </c>
      <c r="W25" s="50">
        <v>0</v>
      </c>
      <c r="X25" s="125">
        <f t="shared" si="18"/>
        <v>0</v>
      </c>
      <c r="Y25" s="50">
        <v>0</v>
      </c>
      <c r="Z25" s="50">
        <v>0</v>
      </c>
      <c r="AA25" s="125">
        <f t="shared" si="10"/>
        <v>0</v>
      </c>
      <c r="AB25" s="50"/>
      <c r="AC25" s="50"/>
      <c r="AD25" s="125">
        <f t="shared" si="11"/>
        <v>0</v>
      </c>
      <c r="AE25" s="130">
        <f t="shared" si="19"/>
        <v>0</v>
      </c>
      <c r="AF25" s="130">
        <f t="shared" si="8"/>
        <v>0</v>
      </c>
    </row>
    <row r="26" s="122" customFormat="1" ht="35.1" customHeight="1" spans="1:32">
      <c r="A26" s="48">
        <v>232</v>
      </c>
      <c r="B26" s="52" t="s">
        <v>366</v>
      </c>
      <c r="C26" s="125">
        <f t="shared" si="9"/>
        <v>12320</v>
      </c>
      <c r="D26" s="50">
        <v>12320</v>
      </c>
      <c r="E26" s="125"/>
      <c r="F26" s="125">
        <f t="shared" si="12"/>
        <v>0</v>
      </c>
      <c r="G26" s="50"/>
      <c r="H26" s="50"/>
      <c r="I26" s="125">
        <f t="shared" si="13"/>
        <v>0</v>
      </c>
      <c r="J26" s="50"/>
      <c r="K26" s="50"/>
      <c r="L26" s="125">
        <f t="shared" si="14"/>
        <v>0</v>
      </c>
      <c r="M26" s="50">
        <v>0</v>
      </c>
      <c r="N26" s="50">
        <v>0</v>
      </c>
      <c r="O26" s="125">
        <f t="shared" si="15"/>
        <v>0</v>
      </c>
      <c r="P26" s="50">
        <v>0</v>
      </c>
      <c r="Q26" s="50">
        <v>0</v>
      </c>
      <c r="R26" s="125">
        <f t="shared" si="16"/>
        <v>0</v>
      </c>
      <c r="S26" s="50">
        <v>0</v>
      </c>
      <c r="T26" s="50">
        <v>0</v>
      </c>
      <c r="U26" s="125">
        <f t="shared" si="17"/>
        <v>0</v>
      </c>
      <c r="V26" s="50">
        <v>0</v>
      </c>
      <c r="W26" s="50">
        <v>0</v>
      </c>
      <c r="X26" s="125">
        <f t="shared" si="18"/>
        <v>0</v>
      </c>
      <c r="Y26" s="50">
        <v>0</v>
      </c>
      <c r="Z26" s="50">
        <v>0</v>
      </c>
      <c r="AA26" s="125">
        <f t="shared" si="10"/>
        <v>-260</v>
      </c>
      <c r="AB26" s="50">
        <v>-260</v>
      </c>
      <c r="AC26" s="50"/>
      <c r="AD26" s="125">
        <f t="shared" si="11"/>
        <v>12060</v>
      </c>
      <c r="AE26" s="130">
        <f t="shared" si="19"/>
        <v>12060</v>
      </c>
      <c r="AF26" s="130">
        <f t="shared" si="8"/>
        <v>0</v>
      </c>
    </row>
    <row r="27" s="122" customFormat="1" ht="35.1" customHeight="1" spans="1:32">
      <c r="A27" s="126">
        <v>229</v>
      </c>
      <c r="B27" s="49" t="s">
        <v>367</v>
      </c>
      <c r="C27" s="125">
        <f t="shared" si="9"/>
        <v>22103</v>
      </c>
      <c r="D27" s="50">
        <v>22103</v>
      </c>
      <c r="E27" s="125"/>
      <c r="F27" s="125">
        <f t="shared" si="12"/>
        <v>406</v>
      </c>
      <c r="G27" s="50">
        <v>406</v>
      </c>
      <c r="H27" s="50"/>
      <c r="I27" s="125">
        <f t="shared" si="13"/>
        <v>0</v>
      </c>
      <c r="J27" s="50"/>
      <c r="K27" s="50"/>
      <c r="L27" s="125">
        <f t="shared" si="14"/>
        <v>0</v>
      </c>
      <c r="M27" s="50">
        <v>0</v>
      </c>
      <c r="N27" s="50">
        <v>0</v>
      </c>
      <c r="O27" s="125">
        <f t="shared" si="15"/>
        <v>0</v>
      </c>
      <c r="P27" s="50">
        <v>0</v>
      </c>
      <c r="Q27" s="50">
        <v>0</v>
      </c>
      <c r="R27" s="125">
        <f t="shared" si="16"/>
        <v>0</v>
      </c>
      <c r="S27" s="50">
        <v>0</v>
      </c>
      <c r="T27" s="50">
        <v>0</v>
      </c>
      <c r="U27" s="125">
        <f t="shared" si="17"/>
        <v>0</v>
      </c>
      <c r="V27" s="50">
        <v>0</v>
      </c>
      <c r="W27" s="50">
        <v>0</v>
      </c>
      <c r="X27" s="125">
        <f t="shared" si="18"/>
        <v>0</v>
      </c>
      <c r="Y27" s="50">
        <v>0</v>
      </c>
      <c r="Z27" s="50">
        <v>0</v>
      </c>
      <c r="AA27" s="125">
        <f t="shared" si="10"/>
        <v>0</v>
      </c>
      <c r="AB27" s="50"/>
      <c r="AC27" s="50"/>
      <c r="AD27" s="125">
        <f t="shared" si="11"/>
        <v>22509</v>
      </c>
      <c r="AE27" s="130">
        <f t="shared" si="19"/>
        <v>22509</v>
      </c>
      <c r="AF27" s="130">
        <f t="shared" si="8"/>
        <v>0</v>
      </c>
    </row>
    <row r="28" s="122" customFormat="1" ht="35.1" customHeight="1" spans="1:32">
      <c r="A28" s="126">
        <v>233</v>
      </c>
      <c r="B28" s="49" t="s">
        <v>368</v>
      </c>
      <c r="C28" s="125">
        <f t="shared" si="9"/>
        <v>150</v>
      </c>
      <c r="D28" s="50">
        <v>150</v>
      </c>
      <c r="E28" s="125"/>
      <c r="F28" s="125">
        <f t="shared" si="12"/>
        <v>0</v>
      </c>
      <c r="G28" s="50"/>
      <c r="H28" s="50"/>
      <c r="I28" s="125">
        <f t="shared" si="13"/>
        <v>0</v>
      </c>
      <c r="J28" s="50"/>
      <c r="K28" s="50"/>
      <c r="L28" s="125">
        <f t="shared" si="14"/>
        <v>0</v>
      </c>
      <c r="M28" s="50">
        <v>0</v>
      </c>
      <c r="N28" s="50">
        <v>0</v>
      </c>
      <c r="O28" s="125">
        <f t="shared" si="15"/>
        <v>0</v>
      </c>
      <c r="P28" s="50">
        <v>0</v>
      </c>
      <c r="Q28" s="50">
        <v>0</v>
      </c>
      <c r="R28" s="125">
        <f t="shared" si="16"/>
        <v>0</v>
      </c>
      <c r="S28" s="50">
        <v>0</v>
      </c>
      <c r="T28" s="50">
        <v>0</v>
      </c>
      <c r="U28" s="125">
        <f t="shared" si="17"/>
        <v>0</v>
      </c>
      <c r="V28" s="50">
        <v>0</v>
      </c>
      <c r="W28" s="50">
        <v>0</v>
      </c>
      <c r="X28" s="125">
        <f t="shared" si="18"/>
        <v>0</v>
      </c>
      <c r="Y28" s="50">
        <v>0</v>
      </c>
      <c r="Z28" s="50">
        <v>0</v>
      </c>
      <c r="AA28" s="125">
        <f t="shared" si="10"/>
        <v>-102</v>
      </c>
      <c r="AB28" s="50">
        <v>-102</v>
      </c>
      <c r="AC28" s="50"/>
      <c r="AD28" s="125">
        <f t="shared" si="11"/>
        <v>48</v>
      </c>
      <c r="AE28" s="130">
        <f t="shared" si="19"/>
        <v>48</v>
      </c>
      <c r="AF28" s="130">
        <f t="shared" si="8"/>
        <v>0</v>
      </c>
    </row>
    <row r="29" s="122" customFormat="1" ht="34.5" customHeight="1" spans="1:32">
      <c r="A29" s="126"/>
      <c r="B29" s="127" t="s">
        <v>166</v>
      </c>
      <c r="C29" s="50">
        <f>SUM(C5:C28)</f>
        <v>1076536.996198</v>
      </c>
      <c r="D29" s="50">
        <f>SUM(D5:D28)</f>
        <v>857216.996198</v>
      </c>
      <c r="E29" s="50">
        <f t="shared" ref="E29:AF29" si="20">SUM(E5:E28)</f>
        <v>219320</v>
      </c>
      <c r="F29" s="50">
        <f t="shared" si="20"/>
        <v>61365.51062</v>
      </c>
      <c r="G29" s="50">
        <f t="shared" si="20"/>
        <v>62315.51062</v>
      </c>
      <c r="H29" s="50">
        <f t="shared" si="20"/>
        <v>-950</v>
      </c>
      <c r="I29" s="50">
        <f t="shared" si="20"/>
        <v>0</v>
      </c>
      <c r="J29" s="50">
        <f t="shared" si="20"/>
        <v>0</v>
      </c>
      <c r="K29" s="50">
        <f t="shared" si="20"/>
        <v>0</v>
      </c>
      <c r="L29" s="50">
        <f t="shared" si="20"/>
        <v>-144437</v>
      </c>
      <c r="M29" s="50">
        <f t="shared" si="20"/>
        <v>-191887</v>
      </c>
      <c r="N29" s="50">
        <f t="shared" si="20"/>
        <v>48380</v>
      </c>
      <c r="O29" s="50">
        <f t="shared" si="20"/>
        <v>0</v>
      </c>
      <c r="P29" s="50">
        <f t="shared" si="20"/>
        <v>0</v>
      </c>
      <c r="Q29" s="50">
        <f t="shared" si="20"/>
        <v>0</v>
      </c>
      <c r="R29" s="50">
        <f t="shared" si="20"/>
        <v>160000.33</v>
      </c>
      <c r="S29" s="50">
        <f t="shared" si="20"/>
        <v>160000.33</v>
      </c>
      <c r="T29" s="50">
        <f t="shared" si="20"/>
        <v>0</v>
      </c>
      <c r="U29" s="50">
        <f t="shared" si="20"/>
        <v>51630</v>
      </c>
      <c r="V29" s="50">
        <f t="shared" si="20"/>
        <v>51630</v>
      </c>
      <c r="W29" s="50">
        <f t="shared" si="20"/>
        <v>0</v>
      </c>
      <c r="X29" s="50">
        <f t="shared" si="20"/>
        <v>0</v>
      </c>
      <c r="Y29" s="50">
        <f t="shared" si="20"/>
        <v>0</v>
      </c>
      <c r="Z29" s="50">
        <f t="shared" si="20"/>
        <v>0</v>
      </c>
      <c r="AA29" s="50">
        <f t="shared" si="20"/>
        <v>0</v>
      </c>
      <c r="AB29" s="50">
        <f t="shared" si="20"/>
        <v>0</v>
      </c>
      <c r="AC29" s="50">
        <f t="shared" si="20"/>
        <v>0</v>
      </c>
      <c r="AD29" s="50">
        <f t="shared" si="20"/>
        <v>1206025.836818</v>
      </c>
      <c r="AE29" s="50">
        <f t="shared" si="20"/>
        <v>939275.836818</v>
      </c>
      <c r="AF29" s="50">
        <f t="shared" si="20"/>
        <v>266750</v>
      </c>
    </row>
    <row r="30" s="122" customFormat="1" spans="30:32">
      <c r="AD30" s="131">
        <f>AD29-C29</f>
        <v>129488.84062</v>
      </c>
      <c r="AE30" s="131">
        <f>AE29-D29</f>
        <v>82058.8406199999</v>
      </c>
      <c r="AF30" s="131">
        <f>AF29-E29</f>
        <v>47430</v>
      </c>
    </row>
    <row r="31" s="122" customFormat="1" spans="30:32">
      <c r="AD31" s="123"/>
      <c r="AE31" s="37"/>
      <c r="AF31" s="37"/>
    </row>
    <row r="32" s="122" customFormat="1" spans="30:32">
      <c r="AD32" s="123"/>
      <c r="AE32" s="37"/>
      <c r="AF32" s="37"/>
    </row>
    <row r="33" s="122" customFormat="1" spans="30:32">
      <c r="AD33" s="123" t="s">
        <v>369</v>
      </c>
      <c r="AE33" s="37"/>
      <c r="AF33" s="37"/>
    </row>
  </sheetData>
  <mergeCells count="25">
    <mergeCell ref="A1:AF1"/>
    <mergeCell ref="G2:Y2"/>
    <mergeCell ref="AE2:AF2"/>
    <mergeCell ref="D3:E3"/>
    <mergeCell ref="G3:H3"/>
    <mergeCell ref="J3:K3"/>
    <mergeCell ref="M3:N3"/>
    <mergeCell ref="P3:Q3"/>
    <mergeCell ref="S3:T3"/>
    <mergeCell ref="V3:W3"/>
    <mergeCell ref="Y3:Z3"/>
    <mergeCell ref="AB3:AC3"/>
    <mergeCell ref="AE3:AF3"/>
    <mergeCell ref="A3:A4"/>
    <mergeCell ref="B3:B4"/>
    <mergeCell ref="C3:C4"/>
    <mergeCell ref="F3:F4"/>
    <mergeCell ref="I3:I4"/>
    <mergeCell ref="L3:L4"/>
    <mergeCell ref="O3:O4"/>
    <mergeCell ref="R3:R4"/>
    <mergeCell ref="U3:U4"/>
    <mergeCell ref="X3:X4"/>
    <mergeCell ref="AA3:AA4"/>
    <mergeCell ref="AD3:AD4"/>
  </mergeCells>
  <pageMargins left="0.700694444444445" right="0.700694444444445" top="0.751388888888889" bottom="0.751388888888889" header="0.298611111111111" footer="0.298611111111111"/>
  <pageSetup paperSize="9" scale="49" firstPageNumber="21" orientation="landscape" useFirstPageNumber="1" horizontalDpi="600"/>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K265"/>
  <sheetViews>
    <sheetView view="pageBreakPreview" zoomScaleNormal="100" workbookViewId="0">
      <pane xSplit="2" ySplit="5" topLeftCell="C6" activePane="bottomRight" state="frozen"/>
      <selection/>
      <selection pane="topRight"/>
      <selection pane="bottomLeft"/>
      <selection pane="bottomRight" activeCell="E175" sqref="E175"/>
    </sheetView>
  </sheetViews>
  <sheetFormatPr defaultColWidth="9" defaultRowHeight="14.25"/>
  <cols>
    <col min="1" max="1" width="5.5" style="75" customWidth="1"/>
    <col min="2" max="2" width="85.625" style="76" customWidth="1"/>
    <col min="3" max="3" width="13.875" style="77" customWidth="1"/>
    <col min="4" max="4" width="16.625" style="77" customWidth="1"/>
    <col min="5" max="6" width="13.5" style="77" customWidth="1"/>
    <col min="7" max="7" width="17.875" style="77" customWidth="1"/>
    <col min="8" max="8" width="17.125" style="77" customWidth="1"/>
    <col min="9" max="9" width="18.625" style="71" customWidth="1"/>
    <col min="10" max="10" width="9.25" style="71"/>
    <col min="11" max="11" width="10.5" style="71" customWidth="1"/>
    <col min="12" max="16384" width="9" style="71"/>
  </cols>
  <sheetData>
    <row r="1" ht="41.25" customHeight="1" spans="1:9">
      <c r="A1" s="78" t="s">
        <v>370</v>
      </c>
      <c r="B1" s="78"/>
      <c r="C1" s="79"/>
      <c r="D1" s="79"/>
      <c r="E1" s="79"/>
      <c r="F1" s="79"/>
      <c r="G1" s="79"/>
      <c r="H1" s="79"/>
      <c r="I1" s="78"/>
    </row>
    <row r="2" ht="33" customHeight="1" spans="1:9">
      <c r="A2" s="80" t="s">
        <v>1</v>
      </c>
      <c r="C2" s="81" t="s">
        <v>2</v>
      </c>
      <c r="D2" s="81"/>
      <c r="E2" s="81"/>
      <c r="F2" s="81"/>
      <c r="G2" s="81"/>
      <c r="I2" s="97" t="s">
        <v>3</v>
      </c>
    </row>
    <row r="3" s="67" customFormat="1" ht="22" customHeight="1" spans="1:9">
      <c r="A3" s="82" t="s">
        <v>157</v>
      </c>
      <c r="B3" s="83" t="s">
        <v>158</v>
      </c>
      <c r="C3" s="84" t="s">
        <v>159</v>
      </c>
      <c r="D3" s="85" t="s">
        <v>160</v>
      </c>
      <c r="E3" s="86"/>
      <c r="F3" s="87"/>
      <c r="G3" s="84" t="s">
        <v>161</v>
      </c>
      <c r="H3" s="84" t="s">
        <v>162</v>
      </c>
      <c r="I3" s="98" t="s">
        <v>163</v>
      </c>
    </row>
    <row r="4" s="67" customFormat="1" ht="22" customHeight="1" spans="1:9">
      <c r="A4" s="82"/>
      <c r="B4" s="83"/>
      <c r="C4" s="88"/>
      <c r="D4" s="84" t="s">
        <v>9</v>
      </c>
      <c r="E4" s="84" t="s">
        <v>164</v>
      </c>
      <c r="F4" s="84" t="s">
        <v>165</v>
      </c>
      <c r="G4" s="88"/>
      <c r="H4" s="88"/>
      <c r="I4" s="99"/>
    </row>
    <row r="5" s="67" customFormat="1" ht="22" customHeight="1" spans="1:9">
      <c r="A5" s="82"/>
      <c r="B5" s="83"/>
      <c r="C5" s="89"/>
      <c r="D5" s="89"/>
      <c r="E5" s="89"/>
      <c r="F5" s="89"/>
      <c r="G5" s="89"/>
      <c r="H5" s="89"/>
      <c r="I5" s="100"/>
    </row>
    <row r="6" s="68" customFormat="1" spans="1:9">
      <c r="A6" s="90"/>
      <c r="B6" s="83" t="s">
        <v>166</v>
      </c>
      <c r="C6" s="91">
        <f t="shared" ref="C6:H6" si="0">C7+C156</f>
        <v>899406.7621</v>
      </c>
      <c r="D6" s="91">
        <f t="shared" si="0"/>
        <v>506914.618532</v>
      </c>
      <c r="E6" s="91">
        <f t="shared" si="0"/>
        <v>494918.618532</v>
      </c>
      <c r="F6" s="91">
        <f t="shared" si="0"/>
        <v>11996</v>
      </c>
      <c r="G6" s="91">
        <f t="shared" si="0"/>
        <v>392492.143568</v>
      </c>
      <c r="H6" s="91">
        <f t="shared" si="0"/>
        <v>-392492.143568</v>
      </c>
      <c r="I6" s="101"/>
    </row>
    <row r="7" s="69" customFormat="1" spans="1:9">
      <c r="A7" s="90" t="s">
        <v>167</v>
      </c>
      <c r="B7" s="92" t="s">
        <v>168</v>
      </c>
      <c r="C7" s="91">
        <f>C8+C122</f>
        <v>899406.7621</v>
      </c>
      <c r="D7" s="91">
        <f t="shared" ref="C7:H7" si="1">D8+D122</f>
        <v>102992.618532</v>
      </c>
      <c r="E7" s="91">
        <f t="shared" si="1"/>
        <v>90996.618532</v>
      </c>
      <c r="F7" s="91">
        <f t="shared" si="1"/>
        <v>11996</v>
      </c>
      <c r="G7" s="91">
        <f t="shared" si="1"/>
        <v>796414.143568</v>
      </c>
      <c r="H7" s="91">
        <f t="shared" si="1"/>
        <v>-796414.143568</v>
      </c>
      <c r="I7" s="102"/>
    </row>
    <row r="8" s="70" customFormat="1" spans="1:9">
      <c r="A8" s="90"/>
      <c r="B8" s="93" t="s">
        <v>371</v>
      </c>
      <c r="C8" s="91">
        <f t="shared" ref="C8:H8" si="2">SUM(C9:C121)</f>
        <v>681527.8338</v>
      </c>
      <c r="D8" s="91">
        <f t="shared" si="2"/>
        <v>25014.836582</v>
      </c>
      <c r="E8" s="91">
        <f t="shared" si="2"/>
        <v>25014.836582</v>
      </c>
      <c r="F8" s="91">
        <f t="shared" si="2"/>
        <v>0</v>
      </c>
      <c r="G8" s="91">
        <f t="shared" si="2"/>
        <v>656512.997218</v>
      </c>
      <c r="H8" s="91">
        <f t="shared" si="2"/>
        <v>-656512.997218</v>
      </c>
      <c r="I8" s="102"/>
    </row>
    <row r="9" s="71" customFormat="1" spans="1:9">
      <c r="A9" s="94">
        <v>1</v>
      </c>
      <c r="B9" s="95" t="s">
        <v>372</v>
      </c>
      <c r="C9" s="96">
        <v>1400</v>
      </c>
      <c r="D9" s="96">
        <f>E9</f>
        <v>0</v>
      </c>
      <c r="E9" s="96">
        <v>0</v>
      </c>
      <c r="F9" s="96">
        <f t="shared" ref="F9:F15" si="3">D9-E9</f>
        <v>0</v>
      </c>
      <c r="G9" s="96">
        <v>1400</v>
      </c>
      <c r="H9" s="91">
        <f>-G9</f>
        <v>-1400</v>
      </c>
      <c r="I9" s="103"/>
    </row>
    <row r="10" s="71" customFormat="1" spans="1:9">
      <c r="A10" s="94">
        <v>2</v>
      </c>
      <c r="B10" s="95" t="s">
        <v>373</v>
      </c>
      <c r="C10" s="96">
        <v>1640</v>
      </c>
      <c r="D10" s="96">
        <f t="shared" ref="D10:D41" si="4">E10</f>
        <v>0</v>
      </c>
      <c r="E10" s="96">
        <v>0</v>
      </c>
      <c r="F10" s="96">
        <f t="shared" si="3"/>
        <v>0</v>
      </c>
      <c r="G10" s="96">
        <v>1640</v>
      </c>
      <c r="H10" s="91">
        <f t="shared" ref="H10:H41" si="5">-G10</f>
        <v>-1640</v>
      </c>
      <c r="I10" s="103"/>
    </row>
    <row r="11" s="71" customFormat="1" spans="1:9">
      <c r="A11" s="94">
        <v>3</v>
      </c>
      <c r="B11" s="95" t="s">
        <v>264</v>
      </c>
      <c r="C11" s="96">
        <v>30000</v>
      </c>
      <c r="D11" s="96">
        <f t="shared" si="4"/>
        <v>0</v>
      </c>
      <c r="E11" s="96">
        <v>0</v>
      </c>
      <c r="F11" s="96">
        <f t="shared" si="3"/>
        <v>0</v>
      </c>
      <c r="G11" s="96">
        <v>30000</v>
      </c>
      <c r="H11" s="91">
        <f t="shared" si="5"/>
        <v>-30000</v>
      </c>
      <c r="I11" s="103"/>
    </row>
    <row r="12" s="71" customFormat="1" spans="1:9">
      <c r="A12" s="94">
        <v>4</v>
      </c>
      <c r="B12" s="95" t="s">
        <v>248</v>
      </c>
      <c r="C12" s="96">
        <v>13840.59</v>
      </c>
      <c r="D12" s="96">
        <f t="shared" si="4"/>
        <v>1513.216914</v>
      </c>
      <c r="E12" s="96">
        <v>1513.216914</v>
      </c>
      <c r="F12" s="96">
        <f t="shared" si="3"/>
        <v>0</v>
      </c>
      <c r="G12" s="96">
        <v>12327.373086</v>
      </c>
      <c r="H12" s="91">
        <f t="shared" si="5"/>
        <v>-12327.373086</v>
      </c>
      <c r="I12" s="103"/>
    </row>
    <row r="13" s="71" customFormat="1" spans="1:9">
      <c r="A13" s="94">
        <v>5</v>
      </c>
      <c r="B13" s="95" t="s">
        <v>374</v>
      </c>
      <c r="C13" s="96">
        <v>1825.7</v>
      </c>
      <c r="D13" s="96">
        <f t="shared" si="4"/>
        <v>47.0144</v>
      </c>
      <c r="E13" s="96">
        <v>47.0144</v>
      </c>
      <c r="F13" s="96">
        <f t="shared" si="3"/>
        <v>0</v>
      </c>
      <c r="G13" s="96">
        <v>1778.6856</v>
      </c>
      <c r="H13" s="91">
        <f t="shared" si="5"/>
        <v>-1778.6856</v>
      </c>
      <c r="I13" s="103"/>
    </row>
    <row r="14" s="71" customFormat="1" spans="1:9">
      <c r="A14" s="94">
        <v>6</v>
      </c>
      <c r="B14" s="95" t="s">
        <v>375</v>
      </c>
      <c r="C14" s="96">
        <v>1000</v>
      </c>
      <c r="D14" s="96">
        <f t="shared" si="4"/>
        <v>347.1825</v>
      </c>
      <c r="E14" s="96">
        <v>347.1825</v>
      </c>
      <c r="F14" s="96">
        <f t="shared" si="3"/>
        <v>0</v>
      </c>
      <c r="G14" s="96">
        <v>652.8175</v>
      </c>
      <c r="H14" s="91">
        <f t="shared" si="5"/>
        <v>-652.8175</v>
      </c>
      <c r="I14" s="103"/>
    </row>
    <row r="15" s="71" customFormat="1" spans="1:9">
      <c r="A15" s="94">
        <v>7</v>
      </c>
      <c r="B15" s="95" t="s">
        <v>376</v>
      </c>
      <c r="C15" s="96">
        <v>1000</v>
      </c>
      <c r="D15" s="96">
        <f t="shared" si="4"/>
        <v>231.3806</v>
      </c>
      <c r="E15" s="96">
        <v>231.3806</v>
      </c>
      <c r="F15" s="96">
        <f t="shared" si="3"/>
        <v>0</v>
      </c>
      <c r="G15" s="96">
        <v>768.6194</v>
      </c>
      <c r="H15" s="91">
        <f t="shared" si="5"/>
        <v>-768.6194</v>
      </c>
      <c r="I15" s="103"/>
    </row>
    <row r="16" s="71" customFormat="1" spans="1:9">
      <c r="A16" s="94">
        <v>8</v>
      </c>
      <c r="B16" s="95" t="s">
        <v>263</v>
      </c>
      <c r="C16" s="96">
        <v>27000</v>
      </c>
      <c r="D16" s="96">
        <f t="shared" si="4"/>
        <v>613.1237</v>
      </c>
      <c r="E16" s="96">
        <v>613.1237</v>
      </c>
      <c r="F16" s="96">
        <f t="shared" ref="F16:F47" si="6">D16-E16</f>
        <v>0</v>
      </c>
      <c r="G16" s="96">
        <v>26386.8763</v>
      </c>
      <c r="H16" s="91">
        <f t="shared" si="5"/>
        <v>-26386.8763</v>
      </c>
      <c r="I16" s="103"/>
    </row>
    <row r="17" s="71" customFormat="1" spans="1:9">
      <c r="A17" s="94">
        <v>9</v>
      </c>
      <c r="B17" s="95" t="s">
        <v>377</v>
      </c>
      <c r="C17" s="96">
        <v>2200</v>
      </c>
      <c r="D17" s="96">
        <f t="shared" si="4"/>
        <v>132.5375</v>
      </c>
      <c r="E17" s="96">
        <v>132.5375</v>
      </c>
      <c r="F17" s="96">
        <f t="shared" si="6"/>
        <v>0</v>
      </c>
      <c r="G17" s="96">
        <v>2067.4625</v>
      </c>
      <c r="H17" s="91">
        <f t="shared" si="5"/>
        <v>-2067.4625</v>
      </c>
      <c r="I17" s="103"/>
    </row>
    <row r="18" s="71" customFormat="1" spans="1:9">
      <c r="A18" s="94">
        <v>10</v>
      </c>
      <c r="B18" s="95" t="s">
        <v>378</v>
      </c>
      <c r="C18" s="96">
        <v>1551</v>
      </c>
      <c r="D18" s="96">
        <f t="shared" si="4"/>
        <v>138.8183</v>
      </c>
      <c r="E18" s="96">
        <v>138.8183</v>
      </c>
      <c r="F18" s="96">
        <f t="shared" si="6"/>
        <v>0</v>
      </c>
      <c r="G18" s="96">
        <v>1412.1817</v>
      </c>
      <c r="H18" s="91">
        <f t="shared" si="5"/>
        <v>-1412.1817</v>
      </c>
      <c r="I18" s="103"/>
    </row>
    <row r="19" s="71" customFormat="1" spans="1:9">
      <c r="A19" s="94">
        <v>11</v>
      </c>
      <c r="B19" s="95" t="s">
        <v>379</v>
      </c>
      <c r="C19" s="96">
        <v>2000</v>
      </c>
      <c r="D19" s="96">
        <f t="shared" si="4"/>
        <v>70</v>
      </c>
      <c r="E19" s="96">
        <v>70</v>
      </c>
      <c r="F19" s="96">
        <f t="shared" si="6"/>
        <v>0</v>
      </c>
      <c r="G19" s="96">
        <v>1930</v>
      </c>
      <c r="H19" s="91">
        <f t="shared" si="5"/>
        <v>-1930</v>
      </c>
      <c r="I19" s="103"/>
    </row>
    <row r="20" s="71" customFormat="1" spans="1:9">
      <c r="A20" s="94">
        <v>12</v>
      </c>
      <c r="B20" s="95" t="s">
        <v>380</v>
      </c>
      <c r="C20" s="96">
        <v>2000</v>
      </c>
      <c r="D20" s="96">
        <f t="shared" si="4"/>
        <v>104</v>
      </c>
      <c r="E20" s="96">
        <v>104</v>
      </c>
      <c r="F20" s="96">
        <f t="shared" si="6"/>
        <v>0</v>
      </c>
      <c r="G20" s="96">
        <v>1896</v>
      </c>
      <c r="H20" s="91">
        <f t="shared" si="5"/>
        <v>-1896</v>
      </c>
      <c r="I20" s="103"/>
    </row>
    <row r="21" s="71" customFormat="1" spans="1:9">
      <c r="A21" s="94">
        <v>13</v>
      </c>
      <c r="B21" s="95" t="s">
        <v>381</v>
      </c>
      <c r="C21" s="96">
        <v>4000</v>
      </c>
      <c r="D21" s="96">
        <f t="shared" si="4"/>
        <v>1728.9646</v>
      </c>
      <c r="E21" s="96">
        <v>1728.9646</v>
      </c>
      <c r="F21" s="96">
        <f t="shared" si="6"/>
        <v>0</v>
      </c>
      <c r="G21" s="96">
        <v>2271.0354</v>
      </c>
      <c r="H21" s="91">
        <f t="shared" si="5"/>
        <v>-2271.0354</v>
      </c>
      <c r="I21" s="103"/>
    </row>
    <row r="22" s="71" customFormat="1" spans="1:9">
      <c r="A22" s="94">
        <v>14</v>
      </c>
      <c r="B22" s="95" t="s">
        <v>382</v>
      </c>
      <c r="C22" s="96">
        <v>1000</v>
      </c>
      <c r="D22" s="96">
        <f t="shared" si="4"/>
        <v>50.31384</v>
      </c>
      <c r="E22" s="96">
        <v>50.31384</v>
      </c>
      <c r="F22" s="96">
        <f t="shared" si="6"/>
        <v>0</v>
      </c>
      <c r="G22" s="96">
        <v>949.68616</v>
      </c>
      <c r="H22" s="91">
        <f t="shared" si="5"/>
        <v>-949.68616</v>
      </c>
      <c r="I22" s="103"/>
    </row>
    <row r="23" s="71" customFormat="1" spans="1:9">
      <c r="A23" s="94">
        <v>15</v>
      </c>
      <c r="B23" s="95" t="s">
        <v>383</v>
      </c>
      <c r="C23" s="96">
        <v>3480</v>
      </c>
      <c r="D23" s="96">
        <f t="shared" si="4"/>
        <v>328.4531</v>
      </c>
      <c r="E23" s="96">
        <v>328.4531</v>
      </c>
      <c r="F23" s="96">
        <f t="shared" si="6"/>
        <v>0</v>
      </c>
      <c r="G23" s="96">
        <v>3151.5469</v>
      </c>
      <c r="H23" s="91">
        <f t="shared" si="5"/>
        <v>-3151.5469</v>
      </c>
      <c r="I23" s="103"/>
    </row>
    <row r="24" s="71" customFormat="1" spans="1:9">
      <c r="A24" s="94">
        <v>16</v>
      </c>
      <c r="B24" s="95" t="s">
        <v>384</v>
      </c>
      <c r="C24" s="96">
        <v>2907</v>
      </c>
      <c r="D24" s="96">
        <f t="shared" si="4"/>
        <v>255.44384</v>
      </c>
      <c r="E24" s="96">
        <v>255.44384</v>
      </c>
      <c r="F24" s="96">
        <f t="shared" si="6"/>
        <v>0</v>
      </c>
      <c r="G24" s="96">
        <v>2651.55616</v>
      </c>
      <c r="H24" s="91">
        <f t="shared" si="5"/>
        <v>-2651.55616</v>
      </c>
      <c r="I24" s="103"/>
    </row>
    <row r="25" s="71" customFormat="1" spans="1:9">
      <c r="A25" s="94">
        <v>17</v>
      </c>
      <c r="B25" s="95" t="s">
        <v>385</v>
      </c>
      <c r="C25" s="96">
        <v>6000</v>
      </c>
      <c r="D25" s="96">
        <f t="shared" si="4"/>
        <v>332.4742</v>
      </c>
      <c r="E25" s="96">
        <v>332.4742</v>
      </c>
      <c r="F25" s="96">
        <f t="shared" si="6"/>
        <v>0</v>
      </c>
      <c r="G25" s="96">
        <v>5667.5258</v>
      </c>
      <c r="H25" s="91">
        <f t="shared" si="5"/>
        <v>-5667.5258</v>
      </c>
      <c r="I25" s="103"/>
    </row>
    <row r="26" s="71" customFormat="1" spans="1:9">
      <c r="A26" s="94">
        <v>18</v>
      </c>
      <c r="B26" s="95" t="s">
        <v>386</v>
      </c>
      <c r="C26" s="96">
        <v>1700</v>
      </c>
      <c r="D26" s="96">
        <f t="shared" si="4"/>
        <v>255.22</v>
      </c>
      <c r="E26" s="96">
        <v>255.22</v>
      </c>
      <c r="F26" s="96">
        <f t="shared" si="6"/>
        <v>0</v>
      </c>
      <c r="G26" s="96">
        <v>1444.78</v>
      </c>
      <c r="H26" s="91">
        <f t="shared" si="5"/>
        <v>-1444.78</v>
      </c>
      <c r="I26" s="103"/>
    </row>
    <row r="27" s="71" customFormat="1" spans="1:9">
      <c r="A27" s="94">
        <v>19</v>
      </c>
      <c r="B27" s="95" t="s">
        <v>387</v>
      </c>
      <c r="C27" s="96">
        <v>2300</v>
      </c>
      <c r="D27" s="96">
        <f t="shared" si="4"/>
        <v>101.3846</v>
      </c>
      <c r="E27" s="96">
        <v>101.3846</v>
      </c>
      <c r="F27" s="96">
        <f t="shared" si="6"/>
        <v>0</v>
      </c>
      <c r="G27" s="96">
        <v>2198.6154</v>
      </c>
      <c r="H27" s="91">
        <f t="shared" si="5"/>
        <v>-2198.6154</v>
      </c>
      <c r="I27" s="103"/>
    </row>
    <row r="28" s="71" customFormat="1" spans="1:9">
      <c r="A28" s="94">
        <v>20</v>
      </c>
      <c r="B28" s="95" t="s">
        <v>249</v>
      </c>
      <c r="C28" s="96">
        <v>7000</v>
      </c>
      <c r="D28" s="96">
        <f t="shared" si="4"/>
        <v>0</v>
      </c>
      <c r="E28" s="96">
        <v>0</v>
      </c>
      <c r="F28" s="96">
        <f t="shared" si="6"/>
        <v>0</v>
      </c>
      <c r="G28" s="96">
        <v>7000</v>
      </c>
      <c r="H28" s="91">
        <f t="shared" si="5"/>
        <v>-7000</v>
      </c>
      <c r="I28" s="103"/>
    </row>
    <row r="29" s="71" customFormat="1" spans="1:9">
      <c r="A29" s="94">
        <v>21</v>
      </c>
      <c r="B29" s="95" t="s">
        <v>388</v>
      </c>
      <c r="C29" s="96">
        <v>2000</v>
      </c>
      <c r="D29" s="96">
        <f t="shared" si="4"/>
        <v>446.91702</v>
      </c>
      <c r="E29" s="96">
        <v>446.91702</v>
      </c>
      <c r="F29" s="96">
        <f t="shared" si="6"/>
        <v>0</v>
      </c>
      <c r="G29" s="96">
        <v>1553.08298</v>
      </c>
      <c r="H29" s="91">
        <f t="shared" si="5"/>
        <v>-1553.08298</v>
      </c>
      <c r="I29" s="103"/>
    </row>
    <row r="30" s="71" customFormat="1" spans="1:9">
      <c r="A30" s="94">
        <v>22</v>
      </c>
      <c r="B30" s="95" t="s">
        <v>389</v>
      </c>
      <c r="C30" s="96">
        <v>4000</v>
      </c>
      <c r="D30" s="96">
        <f t="shared" si="4"/>
        <v>636.73</v>
      </c>
      <c r="E30" s="96">
        <v>636.73</v>
      </c>
      <c r="F30" s="96">
        <f t="shared" si="6"/>
        <v>0</v>
      </c>
      <c r="G30" s="96">
        <v>3363.27</v>
      </c>
      <c r="H30" s="91">
        <f t="shared" si="5"/>
        <v>-3363.27</v>
      </c>
      <c r="I30" s="103"/>
    </row>
    <row r="31" s="71" customFormat="1" spans="1:9">
      <c r="A31" s="94">
        <v>23</v>
      </c>
      <c r="B31" s="95" t="s">
        <v>390</v>
      </c>
      <c r="C31" s="96">
        <v>3500</v>
      </c>
      <c r="D31" s="96">
        <f t="shared" si="4"/>
        <v>1459.385745</v>
      </c>
      <c r="E31" s="96">
        <v>1459.385745</v>
      </c>
      <c r="F31" s="96">
        <f t="shared" si="6"/>
        <v>0</v>
      </c>
      <c r="G31" s="96">
        <v>2040.614255</v>
      </c>
      <c r="H31" s="91">
        <f t="shared" si="5"/>
        <v>-2040.614255</v>
      </c>
      <c r="I31" s="103"/>
    </row>
    <row r="32" s="71" customFormat="1" spans="1:9">
      <c r="A32" s="94">
        <v>24</v>
      </c>
      <c r="B32" s="95" t="s">
        <v>391</v>
      </c>
      <c r="C32" s="96">
        <v>7000</v>
      </c>
      <c r="D32" s="96">
        <f t="shared" si="4"/>
        <v>438.8799</v>
      </c>
      <c r="E32" s="96">
        <v>438.8799</v>
      </c>
      <c r="F32" s="96">
        <f t="shared" si="6"/>
        <v>0</v>
      </c>
      <c r="G32" s="96">
        <v>6561.1201</v>
      </c>
      <c r="H32" s="91">
        <f t="shared" si="5"/>
        <v>-6561.1201</v>
      </c>
      <c r="I32" s="103"/>
    </row>
    <row r="33" s="71" customFormat="1" spans="1:9">
      <c r="A33" s="94">
        <v>25</v>
      </c>
      <c r="B33" s="95" t="s">
        <v>392</v>
      </c>
      <c r="C33" s="96">
        <v>1000</v>
      </c>
      <c r="D33" s="96">
        <f t="shared" si="4"/>
        <v>2.6935</v>
      </c>
      <c r="E33" s="96">
        <v>2.6935</v>
      </c>
      <c r="F33" s="96">
        <f t="shared" si="6"/>
        <v>0</v>
      </c>
      <c r="G33" s="96">
        <v>997.3065</v>
      </c>
      <c r="H33" s="91">
        <f t="shared" si="5"/>
        <v>-997.3065</v>
      </c>
      <c r="I33" s="103"/>
    </row>
    <row r="34" s="71" customFormat="1" spans="1:9">
      <c r="A34" s="94">
        <v>26</v>
      </c>
      <c r="B34" s="95" t="s">
        <v>393</v>
      </c>
      <c r="C34" s="96">
        <v>1900</v>
      </c>
      <c r="D34" s="96">
        <f t="shared" si="4"/>
        <v>18.0434</v>
      </c>
      <c r="E34" s="96">
        <v>18.0434</v>
      </c>
      <c r="F34" s="96">
        <f t="shared" si="6"/>
        <v>0</v>
      </c>
      <c r="G34" s="96">
        <v>1881.9566</v>
      </c>
      <c r="H34" s="91">
        <f t="shared" si="5"/>
        <v>-1881.9566</v>
      </c>
      <c r="I34" s="103"/>
    </row>
    <row r="35" s="71" customFormat="1" spans="1:9">
      <c r="A35" s="94">
        <v>27</v>
      </c>
      <c r="B35" s="95" t="s">
        <v>394</v>
      </c>
      <c r="C35" s="96">
        <v>1000</v>
      </c>
      <c r="D35" s="96">
        <f t="shared" si="4"/>
        <v>63.6974</v>
      </c>
      <c r="E35" s="96">
        <v>63.6974</v>
      </c>
      <c r="F35" s="96">
        <f t="shared" si="6"/>
        <v>0</v>
      </c>
      <c r="G35" s="96">
        <v>936.3026</v>
      </c>
      <c r="H35" s="91">
        <f t="shared" si="5"/>
        <v>-936.3026</v>
      </c>
      <c r="I35" s="103"/>
    </row>
    <row r="36" s="71" customFormat="1" spans="1:9">
      <c r="A36" s="94">
        <v>28</v>
      </c>
      <c r="B36" s="95" t="s">
        <v>395</v>
      </c>
      <c r="C36" s="96">
        <v>1500</v>
      </c>
      <c r="D36" s="96">
        <f t="shared" si="4"/>
        <v>111.1328</v>
      </c>
      <c r="E36" s="96">
        <v>111.1328</v>
      </c>
      <c r="F36" s="96">
        <f t="shared" si="6"/>
        <v>0</v>
      </c>
      <c r="G36" s="96">
        <v>1388.8672</v>
      </c>
      <c r="H36" s="91">
        <f t="shared" si="5"/>
        <v>-1388.8672</v>
      </c>
      <c r="I36" s="103"/>
    </row>
    <row r="37" s="71" customFormat="1" spans="1:9">
      <c r="A37" s="94">
        <v>29</v>
      </c>
      <c r="B37" s="95" t="s">
        <v>396</v>
      </c>
      <c r="C37" s="96">
        <v>1000</v>
      </c>
      <c r="D37" s="96">
        <f t="shared" si="4"/>
        <v>0</v>
      </c>
      <c r="E37" s="96">
        <v>0</v>
      </c>
      <c r="F37" s="96">
        <f t="shared" si="6"/>
        <v>0</v>
      </c>
      <c r="G37" s="96">
        <v>1000</v>
      </c>
      <c r="H37" s="91">
        <f t="shared" si="5"/>
        <v>-1000</v>
      </c>
      <c r="I37" s="103"/>
    </row>
    <row r="38" s="71" customFormat="1" spans="1:9">
      <c r="A38" s="94">
        <v>30</v>
      </c>
      <c r="B38" s="95" t="s">
        <v>397</v>
      </c>
      <c r="C38" s="96">
        <v>1000</v>
      </c>
      <c r="D38" s="96">
        <f t="shared" si="4"/>
        <v>111.325906</v>
      </c>
      <c r="E38" s="96">
        <v>111.325906</v>
      </c>
      <c r="F38" s="96">
        <f t="shared" si="6"/>
        <v>0</v>
      </c>
      <c r="G38" s="96">
        <v>888.674094</v>
      </c>
      <c r="H38" s="91">
        <f t="shared" si="5"/>
        <v>-888.674094</v>
      </c>
      <c r="I38" s="103"/>
    </row>
    <row r="39" s="71" customFormat="1" spans="1:9">
      <c r="A39" s="94">
        <v>31</v>
      </c>
      <c r="B39" s="95" t="s">
        <v>398</v>
      </c>
      <c r="C39" s="96">
        <v>3000</v>
      </c>
      <c r="D39" s="96">
        <f t="shared" si="4"/>
        <v>0</v>
      </c>
      <c r="E39" s="96">
        <v>0</v>
      </c>
      <c r="F39" s="96">
        <f t="shared" si="6"/>
        <v>0</v>
      </c>
      <c r="G39" s="96">
        <v>3000</v>
      </c>
      <c r="H39" s="91">
        <f t="shared" si="5"/>
        <v>-3000</v>
      </c>
      <c r="I39" s="103"/>
    </row>
    <row r="40" s="71" customFormat="1" spans="1:9">
      <c r="A40" s="94">
        <v>32</v>
      </c>
      <c r="B40" s="95" t="s">
        <v>399</v>
      </c>
      <c r="C40" s="96">
        <v>1600</v>
      </c>
      <c r="D40" s="96">
        <f t="shared" si="4"/>
        <v>8.822691</v>
      </c>
      <c r="E40" s="96">
        <v>8.822691</v>
      </c>
      <c r="F40" s="96">
        <f t="shared" si="6"/>
        <v>0</v>
      </c>
      <c r="G40" s="96">
        <v>1591.177309</v>
      </c>
      <c r="H40" s="91">
        <f t="shared" si="5"/>
        <v>-1591.177309</v>
      </c>
      <c r="I40" s="103"/>
    </row>
    <row r="41" s="71" customFormat="1" spans="1:9">
      <c r="A41" s="94">
        <v>33</v>
      </c>
      <c r="B41" s="95" t="s">
        <v>400</v>
      </c>
      <c r="C41" s="96">
        <v>1114</v>
      </c>
      <c r="D41" s="96">
        <f t="shared" si="4"/>
        <v>923.38227</v>
      </c>
      <c r="E41" s="96">
        <v>923.38227</v>
      </c>
      <c r="F41" s="96">
        <f t="shared" si="6"/>
        <v>0</v>
      </c>
      <c r="G41" s="96">
        <v>190.61773</v>
      </c>
      <c r="H41" s="91">
        <f t="shared" si="5"/>
        <v>-190.61773</v>
      </c>
      <c r="I41" s="103"/>
    </row>
    <row r="42" s="71" customFormat="1" spans="1:9">
      <c r="A42" s="94">
        <v>34</v>
      </c>
      <c r="B42" s="95" t="s">
        <v>401</v>
      </c>
      <c r="C42" s="96">
        <v>2500</v>
      </c>
      <c r="D42" s="96">
        <f t="shared" ref="D42:D73" si="7">E42</f>
        <v>340.38064</v>
      </c>
      <c r="E42" s="96">
        <v>340.38064</v>
      </c>
      <c r="F42" s="96">
        <f t="shared" si="6"/>
        <v>0</v>
      </c>
      <c r="G42" s="96">
        <v>2159.61936</v>
      </c>
      <c r="H42" s="91">
        <f t="shared" ref="H42:H73" si="8">-G42</f>
        <v>-2159.61936</v>
      </c>
      <c r="I42" s="103"/>
    </row>
    <row r="43" s="71" customFormat="1" spans="1:9">
      <c r="A43" s="94">
        <v>35</v>
      </c>
      <c r="B43" s="95" t="s">
        <v>261</v>
      </c>
      <c r="C43" s="96">
        <v>10000</v>
      </c>
      <c r="D43" s="96">
        <f t="shared" si="7"/>
        <v>0</v>
      </c>
      <c r="E43" s="96">
        <v>0</v>
      </c>
      <c r="F43" s="96">
        <f t="shared" si="6"/>
        <v>0</v>
      </c>
      <c r="G43" s="96">
        <v>10000</v>
      </c>
      <c r="H43" s="91">
        <f t="shared" si="8"/>
        <v>-10000</v>
      </c>
      <c r="I43" s="103"/>
    </row>
    <row r="44" s="71" customFormat="1" spans="1:9">
      <c r="A44" s="94">
        <v>36</v>
      </c>
      <c r="B44" s="95" t="s">
        <v>262</v>
      </c>
      <c r="C44" s="96">
        <v>30000</v>
      </c>
      <c r="D44" s="96">
        <f t="shared" si="7"/>
        <v>58.4625</v>
      </c>
      <c r="E44" s="96">
        <v>58.4625</v>
      </c>
      <c r="F44" s="96">
        <f t="shared" si="6"/>
        <v>0</v>
      </c>
      <c r="G44" s="96">
        <v>29941.5375</v>
      </c>
      <c r="H44" s="91">
        <f t="shared" si="8"/>
        <v>-29941.5375</v>
      </c>
      <c r="I44" s="103"/>
    </row>
    <row r="45" s="71" customFormat="1" spans="1:9">
      <c r="A45" s="94">
        <v>37</v>
      </c>
      <c r="B45" s="95" t="s">
        <v>402</v>
      </c>
      <c r="C45" s="96">
        <v>2465.4958</v>
      </c>
      <c r="D45" s="96">
        <f t="shared" si="7"/>
        <v>354.808194</v>
      </c>
      <c r="E45" s="96">
        <v>354.808194</v>
      </c>
      <c r="F45" s="96">
        <f t="shared" si="6"/>
        <v>0</v>
      </c>
      <c r="G45" s="96">
        <v>2110.687606</v>
      </c>
      <c r="H45" s="91">
        <f t="shared" si="8"/>
        <v>-2110.687606</v>
      </c>
      <c r="I45" s="103"/>
    </row>
    <row r="46" s="71" customFormat="1" spans="1:9">
      <c r="A46" s="94">
        <v>38</v>
      </c>
      <c r="B46" s="95" t="s">
        <v>260</v>
      </c>
      <c r="C46" s="96">
        <v>120000</v>
      </c>
      <c r="D46" s="96">
        <f t="shared" si="7"/>
        <v>57.2037</v>
      </c>
      <c r="E46" s="96">
        <v>57.2037</v>
      </c>
      <c r="F46" s="96">
        <f t="shared" si="6"/>
        <v>0</v>
      </c>
      <c r="G46" s="96">
        <v>119942.7963</v>
      </c>
      <c r="H46" s="91">
        <f t="shared" si="8"/>
        <v>-119942.7963</v>
      </c>
      <c r="I46" s="103"/>
    </row>
    <row r="47" s="71" customFormat="1" spans="1:9">
      <c r="A47" s="94">
        <v>39</v>
      </c>
      <c r="B47" s="95" t="s">
        <v>273</v>
      </c>
      <c r="C47" s="96">
        <v>2000</v>
      </c>
      <c r="D47" s="96">
        <f t="shared" si="7"/>
        <v>67.0587</v>
      </c>
      <c r="E47" s="96">
        <v>67.0587</v>
      </c>
      <c r="F47" s="96">
        <f t="shared" si="6"/>
        <v>0</v>
      </c>
      <c r="G47" s="96">
        <v>1932.9413</v>
      </c>
      <c r="H47" s="91">
        <f t="shared" si="8"/>
        <v>-1932.9413</v>
      </c>
      <c r="I47" s="103"/>
    </row>
    <row r="48" s="71" customFormat="1" spans="1:9">
      <c r="A48" s="94">
        <v>40</v>
      </c>
      <c r="B48" s="95" t="s">
        <v>403</v>
      </c>
      <c r="C48" s="96">
        <v>1000</v>
      </c>
      <c r="D48" s="96">
        <f t="shared" si="7"/>
        <v>0</v>
      </c>
      <c r="E48" s="96">
        <v>0</v>
      </c>
      <c r="F48" s="96">
        <f t="shared" ref="F48:F79" si="9">D48-E48</f>
        <v>0</v>
      </c>
      <c r="G48" s="96">
        <v>1000</v>
      </c>
      <c r="H48" s="91">
        <f t="shared" si="8"/>
        <v>-1000</v>
      </c>
      <c r="I48" s="103"/>
    </row>
    <row r="49" s="71" customFormat="1" spans="1:9">
      <c r="A49" s="94">
        <v>41</v>
      </c>
      <c r="B49" s="95" t="s">
        <v>404</v>
      </c>
      <c r="C49" s="96">
        <v>1000</v>
      </c>
      <c r="D49" s="96">
        <f t="shared" si="7"/>
        <v>0</v>
      </c>
      <c r="E49" s="96">
        <v>0</v>
      </c>
      <c r="F49" s="96">
        <f t="shared" si="9"/>
        <v>0</v>
      </c>
      <c r="G49" s="96">
        <v>1000</v>
      </c>
      <c r="H49" s="91">
        <f t="shared" si="8"/>
        <v>-1000</v>
      </c>
      <c r="I49" s="103"/>
    </row>
    <row r="50" s="71" customFormat="1" spans="1:9">
      <c r="A50" s="94">
        <v>42</v>
      </c>
      <c r="B50" s="95" t="s">
        <v>405</v>
      </c>
      <c r="C50" s="96">
        <v>1000</v>
      </c>
      <c r="D50" s="96">
        <f t="shared" si="7"/>
        <v>0</v>
      </c>
      <c r="E50" s="96">
        <v>0</v>
      </c>
      <c r="F50" s="96">
        <f t="shared" si="9"/>
        <v>0</v>
      </c>
      <c r="G50" s="96">
        <v>1000</v>
      </c>
      <c r="H50" s="91">
        <f t="shared" si="8"/>
        <v>-1000</v>
      </c>
      <c r="I50" s="103"/>
    </row>
    <row r="51" s="71" customFormat="1" spans="1:9">
      <c r="A51" s="94">
        <v>43</v>
      </c>
      <c r="B51" s="95" t="s">
        <v>272</v>
      </c>
      <c r="C51" s="96">
        <v>8000</v>
      </c>
      <c r="D51" s="96">
        <f t="shared" si="7"/>
        <v>0</v>
      </c>
      <c r="E51" s="96">
        <v>0</v>
      </c>
      <c r="F51" s="96">
        <f t="shared" si="9"/>
        <v>0</v>
      </c>
      <c r="G51" s="96">
        <v>8000</v>
      </c>
      <c r="H51" s="91">
        <f t="shared" si="8"/>
        <v>-8000</v>
      </c>
      <c r="I51" s="103"/>
    </row>
    <row r="52" s="71" customFormat="1" spans="1:9">
      <c r="A52" s="94">
        <v>44</v>
      </c>
      <c r="B52" s="95" t="s">
        <v>406</v>
      </c>
      <c r="C52" s="96">
        <v>16000</v>
      </c>
      <c r="D52" s="96">
        <f t="shared" si="7"/>
        <v>0</v>
      </c>
      <c r="E52" s="96">
        <v>0</v>
      </c>
      <c r="F52" s="96">
        <f t="shared" si="9"/>
        <v>0</v>
      </c>
      <c r="G52" s="96">
        <v>16000</v>
      </c>
      <c r="H52" s="91">
        <f t="shared" si="8"/>
        <v>-16000</v>
      </c>
      <c r="I52" s="103"/>
    </row>
    <row r="53" s="71" customFormat="1" spans="1:9">
      <c r="A53" s="94">
        <v>45</v>
      </c>
      <c r="B53" s="95" t="s">
        <v>265</v>
      </c>
      <c r="C53" s="96">
        <v>8000</v>
      </c>
      <c r="D53" s="96">
        <f t="shared" si="7"/>
        <v>0</v>
      </c>
      <c r="E53" s="96">
        <v>0</v>
      </c>
      <c r="F53" s="96">
        <f t="shared" si="9"/>
        <v>0</v>
      </c>
      <c r="G53" s="96">
        <v>8000</v>
      </c>
      <c r="H53" s="91">
        <f t="shared" si="8"/>
        <v>-8000</v>
      </c>
      <c r="I53" s="103"/>
    </row>
    <row r="54" s="71" customFormat="1" spans="1:9">
      <c r="A54" s="94">
        <v>46</v>
      </c>
      <c r="B54" s="95" t="s">
        <v>407</v>
      </c>
      <c r="C54" s="96">
        <v>2000</v>
      </c>
      <c r="D54" s="96">
        <f t="shared" si="7"/>
        <v>0</v>
      </c>
      <c r="E54" s="96">
        <v>0</v>
      </c>
      <c r="F54" s="96">
        <f t="shared" si="9"/>
        <v>0</v>
      </c>
      <c r="G54" s="96">
        <v>2000</v>
      </c>
      <c r="H54" s="91">
        <f t="shared" si="8"/>
        <v>-2000</v>
      </c>
      <c r="I54" s="103"/>
    </row>
    <row r="55" s="71" customFormat="1" spans="1:9">
      <c r="A55" s="94">
        <v>47</v>
      </c>
      <c r="B55" s="95" t="s">
        <v>408</v>
      </c>
      <c r="C55" s="96">
        <v>3000</v>
      </c>
      <c r="D55" s="96">
        <f t="shared" si="7"/>
        <v>124.535</v>
      </c>
      <c r="E55" s="96">
        <v>124.535</v>
      </c>
      <c r="F55" s="96">
        <f t="shared" si="9"/>
        <v>0</v>
      </c>
      <c r="G55" s="96">
        <v>2875.465</v>
      </c>
      <c r="H55" s="91">
        <f t="shared" si="8"/>
        <v>-2875.465</v>
      </c>
      <c r="I55" s="103"/>
    </row>
    <row r="56" s="71" customFormat="1" spans="1:9">
      <c r="A56" s="94">
        <v>48</v>
      </c>
      <c r="B56" s="95" t="s">
        <v>409</v>
      </c>
      <c r="C56" s="96">
        <v>6000</v>
      </c>
      <c r="D56" s="96">
        <f t="shared" si="7"/>
        <v>1878.714183</v>
      </c>
      <c r="E56" s="96">
        <v>1878.714183</v>
      </c>
      <c r="F56" s="96">
        <f t="shared" si="9"/>
        <v>0</v>
      </c>
      <c r="G56" s="96">
        <v>4121.285817</v>
      </c>
      <c r="H56" s="91">
        <f t="shared" si="8"/>
        <v>-4121.285817</v>
      </c>
      <c r="I56" s="103"/>
    </row>
    <row r="57" s="71" customFormat="1" spans="1:9">
      <c r="A57" s="94">
        <v>49</v>
      </c>
      <c r="B57" s="95" t="s">
        <v>410</v>
      </c>
      <c r="C57" s="96">
        <v>3000</v>
      </c>
      <c r="D57" s="96">
        <f t="shared" si="7"/>
        <v>0</v>
      </c>
      <c r="E57" s="96">
        <v>0</v>
      </c>
      <c r="F57" s="96">
        <f t="shared" si="9"/>
        <v>0</v>
      </c>
      <c r="G57" s="96">
        <v>3000</v>
      </c>
      <c r="H57" s="91">
        <f t="shared" si="8"/>
        <v>-3000</v>
      </c>
      <c r="I57" s="103"/>
    </row>
    <row r="58" s="71" customFormat="1" spans="1:9">
      <c r="A58" s="94">
        <v>50</v>
      </c>
      <c r="B58" s="95" t="s">
        <v>411</v>
      </c>
      <c r="C58" s="96">
        <v>2000</v>
      </c>
      <c r="D58" s="96">
        <f t="shared" si="7"/>
        <v>534.965365</v>
      </c>
      <c r="E58" s="96">
        <v>534.965365</v>
      </c>
      <c r="F58" s="96">
        <f t="shared" si="9"/>
        <v>0</v>
      </c>
      <c r="G58" s="96">
        <v>1465.034635</v>
      </c>
      <c r="H58" s="91">
        <f t="shared" si="8"/>
        <v>-1465.034635</v>
      </c>
      <c r="I58" s="103"/>
    </row>
    <row r="59" s="71" customFormat="1" spans="1:9">
      <c r="A59" s="94">
        <v>51</v>
      </c>
      <c r="B59" s="95" t="s">
        <v>412</v>
      </c>
      <c r="C59" s="96">
        <v>2600</v>
      </c>
      <c r="D59" s="96">
        <f t="shared" si="7"/>
        <v>206.0897</v>
      </c>
      <c r="E59" s="96">
        <v>206.0897</v>
      </c>
      <c r="F59" s="96">
        <f t="shared" si="9"/>
        <v>0</v>
      </c>
      <c r="G59" s="96">
        <v>2393.9103</v>
      </c>
      <c r="H59" s="91">
        <f t="shared" si="8"/>
        <v>-2393.9103</v>
      </c>
      <c r="I59" s="103"/>
    </row>
    <row r="60" s="71" customFormat="1" spans="1:9">
      <c r="A60" s="94">
        <v>52</v>
      </c>
      <c r="B60" s="95" t="s">
        <v>413</v>
      </c>
      <c r="C60" s="96">
        <v>2000</v>
      </c>
      <c r="D60" s="96">
        <f t="shared" si="7"/>
        <v>19.535</v>
      </c>
      <c r="E60" s="96">
        <v>19.535</v>
      </c>
      <c r="F60" s="96">
        <f t="shared" si="9"/>
        <v>0</v>
      </c>
      <c r="G60" s="96">
        <v>1980.465</v>
      </c>
      <c r="H60" s="91">
        <f t="shared" si="8"/>
        <v>-1980.465</v>
      </c>
      <c r="I60" s="103"/>
    </row>
    <row r="61" s="71" customFormat="1" spans="1:9">
      <c r="A61" s="94">
        <v>53</v>
      </c>
      <c r="B61" s="95" t="s">
        <v>414</v>
      </c>
      <c r="C61" s="96">
        <v>2000</v>
      </c>
      <c r="D61" s="96">
        <f t="shared" si="7"/>
        <v>385.6274</v>
      </c>
      <c r="E61" s="96">
        <v>385.6274</v>
      </c>
      <c r="F61" s="96">
        <f t="shared" si="9"/>
        <v>0</v>
      </c>
      <c r="G61" s="96">
        <v>1614.3726</v>
      </c>
      <c r="H61" s="91">
        <f t="shared" si="8"/>
        <v>-1614.3726</v>
      </c>
      <c r="I61" s="103"/>
    </row>
    <row r="62" s="71" customFormat="1" spans="1:9">
      <c r="A62" s="94">
        <v>54</v>
      </c>
      <c r="B62" s="95" t="s">
        <v>415</v>
      </c>
      <c r="C62" s="96">
        <v>1000</v>
      </c>
      <c r="D62" s="96">
        <f t="shared" si="7"/>
        <v>140.4797</v>
      </c>
      <c r="E62" s="96">
        <v>140.4797</v>
      </c>
      <c r="F62" s="96">
        <f t="shared" si="9"/>
        <v>0</v>
      </c>
      <c r="G62" s="96">
        <v>859.5203</v>
      </c>
      <c r="H62" s="91">
        <f t="shared" si="8"/>
        <v>-859.5203</v>
      </c>
      <c r="I62" s="103"/>
    </row>
    <row r="63" s="71" customFormat="1" spans="1:9">
      <c r="A63" s="94">
        <v>55</v>
      </c>
      <c r="B63" s="95" t="s">
        <v>416</v>
      </c>
      <c r="C63" s="96">
        <v>1000</v>
      </c>
      <c r="D63" s="96">
        <f t="shared" si="7"/>
        <v>8.244648</v>
      </c>
      <c r="E63" s="96">
        <v>8.244648</v>
      </c>
      <c r="F63" s="96">
        <f t="shared" si="9"/>
        <v>0</v>
      </c>
      <c r="G63" s="96">
        <v>991.755352</v>
      </c>
      <c r="H63" s="91">
        <f t="shared" si="8"/>
        <v>-991.755352</v>
      </c>
      <c r="I63" s="103"/>
    </row>
    <row r="64" s="71" customFormat="1" spans="1:9">
      <c r="A64" s="94">
        <v>56</v>
      </c>
      <c r="B64" s="95" t="s">
        <v>417</v>
      </c>
      <c r="C64" s="96">
        <v>1000</v>
      </c>
      <c r="D64" s="96">
        <f t="shared" si="7"/>
        <v>0</v>
      </c>
      <c r="E64" s="96">
        <v>0</v>
      </c>
      <c r="F64" s="96">
        <f t="shared" si="9"/>
        <v>0</v>
      </c>
      <c r="G64" s="96">
        <v>1000</v>
      </c>
      <c r="H64" s="91">
        <f t="shared" si="8"/>
        <v>-1000</v>
      </c>
      <c r="I64" s="103"/>
    </row>
    <row r="65" s="71" customFormat="1" spans="1:9">
      <c r="A65" s="94">
        <v>57</v>
      </c>
      <c r="B65" s="95" t="s">
        <v>418</v>
      </c>
      <c r="C65" s="96">
        <v>2500</v>
      </c>
      <c r="D65" s="96">
        <f t="shared" si="7"/>
        <v>33.3682</v>
      </c>
      <c r="E65" s="96">
        <v>33.3682</v>
      </c>
      <c r="F65" s="96">
        <f t="shared" si="9"/>
        <v>0</v>
      </c>
      <c r="G65" s="96">
        <v>2466.6318</v>
      </c>
      <c r="H65" s="91">
        <f t="shared" si="8"/>
        <v>-2466.6318</v>
      </c>
      <c r="I65" s="103"/>
    </row>
    <row r="66" s="71" customFormat="1" spans="1:9">
      <c r="A66" s="94">
        <v>58</v>
      </c>
      <c r="B66" s="95" t="s">
        <v>419</v>
      </c>
      <c r="C66" s="96">
        <v>1039</v>
      </c>
      <c r="D66" s="96">
        <f t="shared" si="7"/>
        <v>54.849</v>
      </c>
      <c r="E66" s="96">
        <v>54.849</v>
      </c>
      <c r="F66" s="96">
        <f t="shared" si="9"/>
        <v>0</v>
      </c>
      <c r="G66" s="96">
        <v>984.151</v>
      </c>
      <c r="H66" s="91">
        <f t="shared" si="8"/>
        <v>-984.151</v>
      </c>
      <c r="I66" s="103"/>
    </row>
    <row r="67" s="71" customFormat="1" spans="1:9">
      <c r="A67" s="94">
        <v>59</v>
      </c>
      <c r="B67" s="95" t="s">
        <v>420</v>
      </c>
      <c r="C67" s="96">
        <v>2000</v>
      </c>
      <c r="D67" s="96">
        <f t="shared" si="7"/>
        <v>48.2907</v>
      </c>
      <c r="E67" s="96">
        <v>48.2907</v>
      </c>
      <c r="F67" s="96">
        <f t="shared" si="9"/>
        <v>0</v>
      </c>
      <c r="G67" s="96">
        <v>1951.7093</v>
      </c>
      <c r="H67" s="91">
        <f t="shared" si="8"/>
        <v>-1951.7093</v>
      </c>
      <c r="I67" s="103"/>
    </row>
    <row r="68" s="71" customFormat="1" spans="1:9">
      <c r="A68" s="94">
        <v>60</v>
      </c>
      <c r="B68" s="95" t="s">
        <v>421</v>
      </c>
      <c r="C68" s="96">
        <v>3000</v>
      </c>
      <c r="D68" s="96">
        <f t="shared" si="7"/>
        <v>0</v>
      </c>
      <c r="E68" s="96">
        <v>0</v>
      </c>
      <c r="F68" s="96">
        <f t="shared" si="9"/>
        <v>0</v>
      </c>
      <c r="G68" s="96">
        <v>3000</v>
      </c>
      <c r="H68" s="91">
        <f t="shared" si="8"/>
        <v>-3000</v>
      </c>
      <c r="I68" s="103"/>
    </row>
    <row r="69" s="71" customFormat="1" spans="1:9">
      <c r="A69" s="94">
        <v>61</v>
      </c>
      <c r="B69" s="95" t="s">
        <v>422</v>
      </c>
      <c r="C69" s="96">
        <v>1000</v>
      </c>
      <c r="D69" s="96">
        <f t="shared" si="7"/>
        <v>0</v>
      </c>
      <c r="E69" s="96">
        <v>0</v>
      </c>
      <c r="F69" s="96">
        <f t="shared" si="9"/>
        <v>0</v>
      </c>
      <c r="G69" s="96">
        <v>1000</v>
      </c>
      <c r="H69" s="91">
        <f t="shared" si="8"/>
        <v>-1000</v>
      </c>
      <c r="I69" s="103"/>
    </row>
    <row r="70" s="71" customFormat="1" spans="1:9">
      <c r="A70" s="94">
        <v>62</v>
      </c>
      <c r="B70" s="95" t="s">
        <v>423</v>
      </c>
      <c r="C70" s="96">
        <v>1500</v>
      </c>
      <c r="D70" s="96">
        <f t="shared" si="7"/>
        <v>0</v>
      </c>
      <c r="E70" s="96">
        <v>0</v>
      </c>
      <c r="F70" s="96">
        <f t="shared" si="9"/>
        <v>0</v>
      </c>
      <c r="G70" s="96">
        <v>1500</v>
      </c>
      <c r="H70" s="91">
        <f t="shared" si="8"/>
        <v>-1500</v>
      </c>
      <c r="I70" s="103"/>
    </row>
    <row r="71" s="71" customFormat="1" spans="1:9">
      <c r="A71" s="94">
        <v>63</v>
      </c>
      <c r="B71" s="95" t="s">
        <v>268</v>
      </c>
      <c r="C71" s="96">
        <v>6000</v>
      </c>
      <c r="D71" s="96">
        <f t="shared" si="7"/>
        <v>50</v>
      </c>
      <c r="E71" s="96">
        <v>50</v>
      </c>
      <c r="F71" s="96">
        <f t="shared" si="9"/>
        <v>0</v>
      </c>
      <c r="G71" s="96">
        <v>5950</v>
      </c>
      <c r="H71" s="91">
        <f t="shared" si="8"/>
        <v>-5950</v>
      </c>
      <c r="I71" s="103"/>
    </row>
    <row r="72" s="71" customFormat="1" spans="1:9">
      <c r="A72" s="94">
        <v>64</v>
      </c>
      <c r="B72" s="95" t="s">
        <v>259</v>
      </c>
      <c r="C72" s="96">
        <v>3500</v>
      </c>
      <c r="D72" s="96">
        <f t="shared" si="7"/>
        <v>0</v>
      </c>
      <c r="E72" s="96">
        <v>0</v>
      </c>
      <c r="F72" s="96">
        <f t="shared" si="9"/>
        <v>0</v>
      </c>
      <c r="G72" s="96">
        <v>3500</v>
      </c>
      <c r="H72" s="91">
        <f t="shared" si="8"/>
        <v>-3500</v>
      </c>
      <c r="I72" s="103"/>
    </row>
    <row r="73" s="71" customFormat="1" spans="1:9">
      <c r="A73" s="94">
        <v>65</v>
      </c>
      <c r="B73" s="95" t="s">
        <v>424</v>
      </c>
      <c r="C73" s="96">
        <v>1200</v>
      </c>
      <c r="D73" s="96">
        <f t="shared" si="7"/>
        <v>590.2057</v>
      </c>
      <c r="E73" s="96">
        <v>590.2057</v>
      </c>
      <c r="F73" s="96">
        <f t="shared" si="9"/>
        <v>0</v>
      </c>
      <c r="G73" s="96">
        <v>609.7943</v>
      </c>
      <c r="H73" s="91">
        <f t="shared" si="8"/>
        <v>-609.7943</v>
      </c>
      <c r="I73" s="103"/>
    </row>
    <row r="74" s="71" customFormat="1" spans="1:9">
      <c r="A74" s="94">
        <v>66</v>
      </c>
      <c r="B74" s="95" t="s">
        <v>425</v>
      </c>
      <c r="C74" s="96">
        <v>5941.5436</v>
      </c>
      <c r="D74" s="96">
        <f t="shared" ref="D74:D120" si="10">E74</f>
        <v>190.5684</v>
      </c>
      <c r="E74" s="96">
        <v>190.5684</v>
      </c>
      <c r="F74" s="96">
        <f t="shared" si="9"/>
        <v>0</v>
      </c>
      <c r="G74" s="96">
        <v>5750.9752</v>
      </c>
      <c r="H74" s="91">
        <f t="shared" ref="H74:H105" si="11">-G74</f>
        <v>-5750.9752</v>
      </c>
      <c r="I74" s="103"/>
    </row>
    <row r="75" s="71" customFormat="1" spans="1:9">
      <c r="A75" s="94">
        <v>67</v>
      </c>
      <c r="B75" s="95" t="s">
        <v>426</v>
      </c>
      <c r="C75" s="96">
        <v>3000</v>
      </c>
      <c r="D75" s="96">
        <f t="shared" si="10"/>
        <v>44.45</v>
      </c>
      <c r="E75" s="96">
        <v>44.45</v>
      </c>
      <c r="F75" s="96">
        <f t="shared" si="9"/>
        <v>0</v>
      </c>
      <c r="G75" s="96">
        <v>2955.55</v>
      </c>
      <c r="H75" s="91">
        <f t="shared" si="11"/>
        <v>-2955.55</v>
      </c>
      <c r="I75" s="103"/>
    </row>
    <row r="76" s="71" customFormat="1" spans="1:9">
      <c r="A76" s="94">
        <v>68</v>
      </c>
      <c r="B76" s="95" t="s">
        <v>427</v>
      </c>
      <c r="C76" s="96">
        <v>2000</v>
      </c>
      <c r="D76" s="96">
        <f t="shared" si="10"/>
        <v>136.232374</v>
      </c>
      <c r="E76" s="96">
        <v>136.232374</v>
      </c>
      <c r="F76" s="96">
        <f t="shared" si="9"/>
        <v>0</v>
      </c>
      <c r="G76" s="96">
        <v>1863.767626</v>
      </c>
      <c r="H76" s="91">
        <f t="shared" si="11"/>
        <v>-1863.767626</v>
      </c>
      <c r="I76" s="103"/>
    </row>
    <row r="77" s="71" customFormat="1" spans="1:9">
      <c r="A77" s="94">
        <v>69</v>
      </c>
      <c r="B77" s="95" t="s">
        <v>428</v>
      </c>
      <c r="C77" s="96">
        <v>2000</v>
      </c>
      <c r="D77" s="96">
        <f t="shared" si="10"/>
        <v>162.336248</v>
      </c>
      <c r="E77" s="96">
        <v>162.336248</v>
      </c>
      <c r="F77" s="96">
        <f t="shared" si="9"/>
        <v>0</v>
      </c>
      <c r="G77" s="96">
        <v>1837.663752</v>
      </c>
      <c r="H77" s="91">
        <f t="shared" si="11"/>
        <v>-1837.663752</v>
      </c>
      <c r="I77" s="103"/>
    </row>
    <row r="78" s="71" customFormat="1" spans="1:9">
      <c r="A78" s="94">
        <v>70</v>
      </c>
      <c r="B78" s="95" t="s">
        <v>429</v>
      </c>
      <c r="C78" s="96">
        <v>1500</v>
      </c>
      <c r="D78" s="96">
        <f t="shared" si="10"/>
        <v>0</v>
      </c>
      <c r="E78" s="96">
        <v>0</v>
      </c>
      <c r="F78" s="96">
        <f t="shared" si="9"/>
        <v>0</v>
      </c>
      <c r="G78" s="96">
        <v>1500</v>
      </c>
      <c r="H78" s="91">
        <f t="shared" si="11"/>
        <v>-1500</v>
      </c>
      <c r="I78" s="103"/>
    </row>
    <row r="79" s="71" customFormat="1" spans="1:9">
      <c r="A79" s="94">
        <v>71</v>
      </c>
      <c r="B79" s="95" t="s">
        <v>430</v>
      </c>
      <c r="C79" s="96">
        <v>1522</v>
      </c>
      <c r="D79" s="96">
        <f t="shared" si="10"/>
        <v>56.4</v>
      </c>
      <c r="E79" s="96">
        <v>56.4</v>
      </c>
      <c r="F79" s="96">
        <f t="shared" si="9"/>
        <v>0</v>
      </c>
      <c r="G79" s="96">
        <v>1465.6</v>
      </c>
      <c r="H79" s="91">
        <f t="shared" si="11"/>
        <v>-1465.6</v>
      </c>
      <c r="I79" s="103"/>
    </row>
    <row r="80" s="71" customFormat="1" spans="1:9">
      <c r="A80" s="94">
        <v>72</v>
      </c>
      <c r="B80" s="95" t="s">
        <v>431</v>
      </c>
      <c r="C80" s="96">
        <v>1069.524</v>
      </c>
      <c r="D80" s="96">
        <f t="shared" si="10"/>
        <v>0</v>
      </c>
      <c r="E80" s="96">
        <v>0</v>
      </c>
      <c r="F80" s="96">
        <f t="shared" ref="F80:F120" si="12">D80-E80</f>
        <v>0</v>
      </c>
      <c r="G80" s="96">
        <v>1069.524</v>
      </c>
      <c r="H80" s="91">
        <f t="shared" si="11"/>
        <v>-1069.524</v>
      </c>
      <c r="I80" s="103"/>
    </row>
    <row r="81" s="71" customFormat="1" spans="1:9">
      <c r="A81" s="94">
        <v>73</v>
      </c>
      <c r="B81" s="95" t="s">
        <v>432</v>
      </c>
      <c r="C81" s="96">
        <v>2800</v>
      </c>
      <c r="D81" s="96">
        <f t="shared" si="10"/>
        <v>0</v>
      </c>
      <c r="E81" s="96">
        <v>0</v>
      </c>
      <c r="F81" s="96">
        <f t="shared" si="12"/>
        <v>0</v>
      </c>
      <c r="G81" s="96">
        <v>2800</v>
      </c>
      <c r="H81" s="91">
        <f t="shared" si="11"/>
        <v>-2800</v>
      </c>
      <c r="I81" s="103"/>
    </row>
    <row r="82" s="71" customFormat="1" spans="1:9">
      <c r="A82" s="94">
        <v>74</v>
      </c>
      <c r="B82" s="95" t="s">
        <v>433</v>
      </c>
      <c r="C82" s="96">
        <v>1200</v>
      </c>
      <c r="D82" s="96">
        <f t="shared" si="10"/>
        <v>0</v>
      </c>
      <c r="E82" s="96">
        <v>0</v>
      </c>
      <c r="F82" s="96">
        <f t="shared" si="12"/>
        <v>0</v>
      </c>
      <c r="G82" s="96">
        <v>1200</v>
      </c>
      <c r="H82" s="91">
        <f t="shared" si="11"/>
        <v>-1200</v>
      </c>
      <c r="I82" s="103"/>
    </row>
    <row r="83" s="71" customFormat="1" spans="1:9">
      <c r="A83" s="94">
        <v>75</v>
      </c>
      <c r="B83" s="95" t="s">
        <v>434</v>
      </c>
      <c r="C83" s="96">
        <v>2400</v>
      </c>
      <c r="D83" s="96">
        <f t="shared" si="10"/>
        <v>449.1652</v>
      </c>
      <c r="E83" s="96">
        <v>449.1652</v>
      </c>
      <c r="F83" s="96">
        <f t="shared" si="12"/>
        <v>0</v>
      </c>
      <c r="G83" s="96">
        <v>1950.8348</v>
      </c>
      <c r="H83" s="91">
        <f t="shared" si="11"/>
        <v>-1950.8348</v>
      </c>
      <c r="I83" s="103"/>
    </row>
    <row r="84" s="71" customFormat="1" spans="1:9">
      <c r="A84" s="94">
        <v>76</v>
      </c>
      <c r="B84" s="95" t="s">
        <v>435</v>
      </c>
      <c r="C84" s="96">
        <v>1960</v>
      </c>
      <c r="D84" s="96">
        <f t="shared" si="10"/>
        <v>0</v>
      </c>
      <c r="E84" s="96">
        <v>0</v>
      </c>
      <c r="F84" s="96">
        <f t="shared" si="12"/>
        <v>0</v>
      </c>
      <c r="G84" s="96">
        <v>1960</v>
      </c>
      <c r="H84" s="91">
        <f t="shared" si="11"/>
        <v>-1960</v>
      </c>
      <c r="I84" s="103"/>
    </row>
    <row r="85" s="71" customFormat="1" spans="1:9">
      <c r="A85" s="94">
        <v>77</v>
      </c>
      <c r="B85" s="95" t="s">
        <v>436</v>
      </c>
      <c r="C85" s="96">
        <v>3720</v>
      </c>
      <c r="D85" s="96">
        <f t="shared" si="10"/>
        <v>640.833145</v>
      </c>
      <c r="E85" s="96">
        <v>640.833145</v>
      </c>
      <c r="F85" s="96">
        <f t="shared" si="12"/>
        <v>0</v>
      </c>
      <c r="G85" s="96">
        <v>3079.166855</v>
      </c>
      <c r="H85" s="91">
        <f t="shared" si="11"/>
        <v>-3079.166855</v>
      </c>
      <c r="I85" s="103"/>
    </row>
    <row r="86" s="71" customFormat="1" spans="1:9">
      <c r="A86" s="94">
        <v>78</v>
      </c>
      <c r="B86" s="95" t="s">
        <v>437</v>
      </c>
      <c r="C86" s="96">
        <v>2400</v>
      </c>
      <c r="D86" s="96">
        <f t="shared" si="10"/>
        <v>73.8164</v>
      </c>
      <c r="E86" s="96">
        <v>73.8164</v>
      </c>
      <c r="F86" s="96">
        <f t="shared" si="12"/>
        <v>0</v>
      </c>
      <c r="G86" s="96">
        <v>2326.1836</v>
      </c>
      <c r="H86" s="91">
        <f t="shared" si="11"/>
        <v>-2326.1836</v>
      </c>
      <c r="I86" s="103"/>
    </row>
    <row r="87" s="71" customFormat="1" spans="1:9">
      <c r="A87" s="94">
        <v>79</v>
      </c>
      <c r="B87" s="95" t="s">
        <v>438</v>
      </c>
      <c r="C87" s="96">
        <v>3800</v>
      </c>
      <c r="D87" s="96">
        <f t="shared" si="10"/>
        <v>173.40021</v>
      </c>
      <c r="E87" s="96">
        <v>173.40021</v>
      </c>
      <c r="F87" s="96">
        <f t="shared" si="12"/>
        <v>0</v>
      </c>
      <c r="G87" s="96">
        <v>3626.59979</v>
      </c>
      <c r="H87" s="91">
        <f t="shared" si="11"/>
        <v>-3626.59979</v>
      </c>
      <c r="I87" s="103"/>
    </row>
    <row r="88" s="71" customFormat="1" spans="1:9">
      <c r="A88" s="94">
        <v>80</v>
      </c>
      <c r="B88" s="95" t="s">
        <v>439</v>
      </c>
      <c r="C88" s="96">
        <v>1200</v>
      </c>
      <c r="D88" s="96">
        <f t="shared" si="10"/>
        <v>82.9122</v>
      </c>
      <c r="E88" s="96">
        <v>82.9122</v>
      </c>
      <c r="F88" s="96">
        <f t="shared" si="12"/>
        <v>0</v>
      </c>
      <c r="G88" s="96">
        <v>1117.0878</v>
      </c>
      <c r="H88" s="91">
        <f t="shared" si="11"/>
        <v>-1117.0878</v>
      </c>
      <c r="I88" s="103"/>
    </row>
    <row r="89" s="71" customFormat="1" spans="1:9">
      <c r="A89" s="94">
        <v>81</v>
      </c>
      <c r="B89" s="95" t="s">
        <v>440</v>
      </c>
      <c r="C89" s="96">
        <v>1400</v>
      </c>
      <c r="D89" s="96">
        <f t="shared" si="10"/>
        <v>100.252809</v>
      </c>
      <c r="E89" s="96">
        <v>100.252809</v>
      </c>
      <c r="F89" s="96">
        <f t="shared" si="12"/>
        <v>0</v>
      </c>
      <c r="G89" s="96">
        <v>1299.747191</v>
      </c>
      <c r="H89" s="91">
        <f t="shared" si="11"/>
        <v>-1299.747191</v>
      </c>
      <c r="I89" s="103"/>
    </row>
    <row r="90" s="71" customFormat="1" spans="1:9">
      <c r="A90" s="94">
        <v>82</v>
      </c>
      <c r="B90" s="95" t="s">
        <v>441</v>
      </c>
      <c r="C90" s="96">
        <v>1000</v>
      </c>
      <c r="D90" s="96">
        <f t="shared" si="10"/>
        <v>43.5835</v>
      </c>
      <c r="E90" s="96">
        <v>43.5835</v>
      </c>
      <c r="F90" s="96">
        <f t="shared" si="12"/>
        <v>0</v>
      </c>
      <c r="G90" s="96">
        <v>956.4165</v>
      </c>
      <c r="H90" s="91">
        <f t="shared" si="11"/>
        <v>-956.4165</v>
      </c>
      <c r="I90" s="103"/>
    </row>
    <row r="91" s="71" customFormat="1" spans="1:9">
      <c r="A91" s="94">
        <v>83</v>
      </c>
      <c r="B91" s="95" t="s">
        <v>442</v>
      </c>
      <c r="C91" s="96">
        <v>1300</v>
      </c>
      <c r="D91" s="96">
        <f t="shared" si="10"/>
        <v>0</v>
      </c>
      <c r="E91" s="96">
        <v>0</v>
      </c>
      <c r="F91" s="96">
        <f t="shared" si="12"/>
        <v>0</v>
      </c>
      <c r="G91" s="96">
        <v>1300</v>
      </c>
      <c r="H91" s="91">
        <f t="shared" si="11"/>
        <v>-1300</v>
      </c>
      <c r="I91" s="103"/>
    </row>
    <row r="92" s="71" customFormat="1" spans="1:9">
      <c r="A92" s="94">
        <v>84</v>
      </c>
      <c r="B92" s="95" t="s">
        <v>443</v>
      </c>
      <c r="C92" s="96">
        <v>1000</v>
      </c>
      <c r="D92" s="96">
        <f t="shared" si="10"/>
        <v>45.54</v>
      </c>
      <c r="E92" s="96">
        <v>45.54</v>
      </c>
      <c r="F92" s="96">
        <f t="shared" si="12"/>
        <v>0</v>
      </c>
      <c r="G92" s="96">
        <v>954.46</v>
      </c>
      <c r="H92" s="91">
        <f t="shared" si="11"/>
        <v>-954.46</v>
      </c>
      <c r="I92" s="103"/>
    </row>
    <row r="93" s="71" customFormat="1" spans="1:9">
      <c r="A93" s="94">
        <v>85</v>
      </c>
      <c r="B93" s="95" t="s">
        <v>444</v>
      </c>
      <c r="C93" s="96">
        <v>1000</v>
      </c>
      <c r="D93" s="96">
        <f t="shared" si="10"/>
        <v>154.4434</v>
      </c>
      <c r="E93" s="96">
        <v>154.4434</v>
      </c>
      <c r="F93" s="96">
        <f t="shared" si="12"/>
        <v>0</v>
      </c>
      <c r="G93" s="96">
        <v>845.5566</v>
      </c>
      <c r="H93" s="91">
        <f t="shared" si="11"/>
        <v>-845.5566</v>
      </c>
      <c r="I93" s="103"/>
    </row>
    <row r="94" s="71" customFormat="1" spans="1:9">
      <c r="A94" s="94">
        <v>86</v>
      </c>
      <c r="B94" s="95" t="s">
        <v>445</v>
      </c>
      <c r="C94" s="96">
        <v>2000</v>
      </c>
      <c r="D94" s="96">
        <f t="shared" si="10"/>
        <v>0</v>
      </c>
      <c r="E94" s="96">
        <v>0</v>
      </c>
      <c r="F94" s="96">
        <f t="shared" si="12"/>
        <v>0</v>
      </c>
      <c r="G94" s="96">
        <v>2000</v>
      </c>
      <c r="H94" s="91">
        <f t="shared" si="11"/>
        <v>-2000</v>
      </c>
      <c r="I94" s="103"/>
    </row>
    <row r="95" s="71" customFormat="1" spans="1:9">
      <c r="A95" s="94">
        <v>87</v>
      </c>
      <c r="B95" s="95" t="s">
        <v>446</v>
      </c>
      <c r="C95" s="96">
        <v>1000</v>
      </c>
      <c r="D95" s="96">
        <f t="shared" si="10"/>
        <v>0</v>
      </c>
      <c r="E95" s="96">
        <v>0</v>
      </c>
      <c r="F95" s="96">
        <f t="shared" si="12"/>
        <v>0</v>
      </c>
      <c r="G95" s="96">
        <v>1000</v>
      </c>
      <c r="H95" s="91">
        <f t="shared" si="11"/>
        <v>-1000</v>
      </c>
      <c r="I95" s="103"/>
    </row>
    <row r="96" s="71" customFormat="1" spans="1:9">
      <c r="A96" s="94">
        <v>88</v>
      </c>
      <c r="B96" s="95" t="s">
        <v>269</v>
      </c>
      <c r="C96" s="96">
        <v>8400</v>
      </c>
      <c r="D96" s="96">
        <f t="shared" si="10"/>
        <v>12</v>
      </c>
      <c r="E96" s="96">
        <v>12</v>
      </c>
      <c r="F96" s="96">
        <f t="shared" si="12"/>
        <v>0</v>
      </c>
      <c r="G96" s="96">
        <v>8388</v>
      </c>
      <c r="H96" s="91">
        <f t="shared" si="11"/>
        <v>-8388</v>
      </c>
      <c r="I96" s="103"/>
    </row>
    <row r="97" s="71" customFormat="1" spans="1:9">
      <c r="A97" s="94">
        <v>89</v>
      </c>
      <c r="B97" s="95" t="s">
        <v>447</v>
      </c>
      <c r="C97" s="96">
        <v>1000</v>
      </c>
      <c r="D97" s="96">
        <f t="shared" si="10"/>
        <v>0</v>
      </c>
      <c r="E97" s="96">
        <v>0</v>
      </c>
      <c r="F97" s="96">
        <f t="shared" si="12"/>
        <v>0</v>
      </c>
      <c r="G97" s="96">
        <v>1000</v>
      </c>
      <c r="H97" s="91">
        <f t="shared" si="11"/>
        <v>-1000</v>
      </c>
      <c r="I97" s="103"/>
    </row>
    <row r="98" s="71" customFormat="1" spans="1:9">
      <c r="A98" s="94">
        <v>90</v>
      </c>
      <c r="B98" s="95" t="s">
        <v>271</v>
      </c>
      <c r="C98" s="96">
        <v>3450</v>
      </c>
      <c r="D98" s="96">
        <f t="shared" si="10"/>
        <v>25.4299</v>
      </c>
      <c r="E98" s="96">
        <v>25.4299</v>
      </c>
      <c r="F98" s="96">
        <f t="shared" si="12"/>
        <v>0</v>
      </c>
      <c r="G98" s="96">
        <v>3424.5701</v>
      </c>
      <c r="H98" s="91">
        <f t="shared" si="11"/>
        <v>-3424.5701</v>
      </c>
      <c r="I98" s="103"/>
    </row>
    <row r="99" s="71" customFormat="1" spans="1:9">
      <c r="A99" s="94">
        <v>91</v>
      </c>
      <c r="B99" s="95" t="s">
        <v>448</v>
      </c>
      <c r="C99" s="96">
        <v>2000</v>
      </c>
      <c r="D99" s="96">
        <f t="shared" si="10"/>
        <v>0</v>
      </c>
      <c r="E99" s="96">
        <v>0</v>
      </c>
      <c r="F99" s="96">
        <f t="shared" si="12"/>
        <v>0</v>
      </c>
      <c r="G99" s="96">
        <v>2000</v>
      </c>
      <c r="H99" s="91">
        <f t="shared" si="11"/>
        <v>-2000</v>
      </c>
      <c r="I99" s="103"/>
    </row>
    <row r="100" s="71" customFormat="1" spans="1:9">
      <c r="A100" s="94">
        <v>92</v>
      </c>
      <c r="B100" s="95" t="s">
        <v>449</v>
      </c>
      <c r="C100" s="96">
        <v>6184.2304</v>
      </c>
      <c r="D100" s="96">
        <f t="shared" si="10"/>
        <v>8</v>
      </c>
      <c r="E100" s="96">
        <v>8</v>
      </c>
      <c r="F100" s="96">
        <f t="shared" si="12"/>
        <v>0</v>
      </c>
      <c r="G100" s="96">
        <v>6176.2304</v>
      </c>
      <c r="H100" s="91">
        <f t="shared" si="11"/>
        <v>-6176.2304</v>
      </c>
      <c r="I100" s="103"/>
    </row>
    <row r="101" s="71" customFormat="1" spans="1:9">
      <c r="A101" s="94">
        <v>93</v>
      </c>
      <c r="B101" s="95" t="s">
        <v>450</v>
      </c>
      <c r="C101" s="96">
        <v>1700</v>
      </c>
      <c r="D101" s="96">
        <f t="shared" si="10"/>
        <v>180.7</v>
      </c>
      <c r="E101" s="96">
        <v>180.7</v>
      </c>
      <c r="F101" s="96">
        <f t="shared" si="12"/>
        <v>0</v>
      </c>
      <c r="G101" s="96">
        <v>1519.3</v>
      </c>
      <c r="H101" s="91">
        <f t="shared" si="11"/>
        <v>-1519.3</v>
      </c>
      <c r="I101" s="103"/>
    </row>
    <row r="102" s="71" customFormat="1" spans="1:9">
      <c r="A102" s="94">
        <v>94</v>
      </c>
      <c r="B102" s="95" t="s">
        <v>451</v>
      </c>
      <c r="C102" s="96">
        <v>1000</v>
      </c>
      <c r="D102" s="96">
        <f t="shared" si="10"/>
        <v>0</v>
      </c>
      <c r="E102" s="96">
        <v>0</v>
      </c>
      <c r="F102" s="96">
        <f t="shared" si="12"/>
        <v>0</v>
      </c>
      <c r="G102" s="96">
        <v>1000</v>
      </c>
      <c r="H102" s="91">
        <f t="shared" si="11"/>
        <v>-1000</v>
      </c>
      <c r="I102" s="103"/>
    </row>
    <row r="103" s="71" customFormat="1" spans="1:9">
      <c r="A103" s="94">
        <v>95</v>
      </c>
      <c r="B103" s="95" t="s">
        <v>452</v>
      </c>
      <c r="C103" s="96">
        <v>1500</v>
      </c>
      <c r="D103" s="96">
        <f t="shared" si="10"/>
        <v>0</v>
      </c>
      <c r="E103" s="96">
        <v>0</v>
      </c>
      <c r="F103" s="96">
        <f t="shared" si="12"/>
        <v>0</v>
      </c>
      <c r="G103" s="96">
        <v>1500</v>
      </c>
      <c r="H103" s="91">
        <f t="shared" si="11"/>
        <v>-1500</v>
      </c>
      <c r="I103" s="103"/>
    </row>
    <row r="104" s="71" customFormat="1" spans="1:9">
      <c r="A104" s="94">
        <v>96</v>
      </c>
      <c r="B104" s="95" t="s">
        <v>453</v>
      </c>
      <c r="C104" s="96">
        <v>2000</v>
      </c>
      <c r="D104" s="96">
        <f t="shared" si="10"/>
        <v>0</v>
      </c>
      <c r="E104" s="96">
        <v>0</v>
      </c>
      <c r="F104" s="96">
        <f t="shared" si="12"/>
        <v>0</v>
      </c>
      <c r="G104" s="96">
        <v>2000</v>
      </c>
      <c r="H104" s="91">
        <f t="shared" si="11"/>
        <v>-2000</v>
      </c>
      <c r="I104" s="103"/>
    </row>
    <row r="105" s="71" customFormat="1" spans="1:9">
      <c r="A105" s="94">
        <v>97</v>
      </c>
      <c r="B105" s="95" t="s">
        <v>454</v>
      </c>
      <c r="C105" s="96">
        <v>7000</v>
      </c>
      <c r="D105" s="96">
        <f t="shared" si="10"/>
        <v>51.4175</v>
      </c>
      <c r="E105" s="96">
        <v>51.4175</v>
      </c>
      <c r="F105" s="96">
        <f t="shared" si="12"/>
        <v>0</v>
      </c>
      <c r="G105" s="96">
        <v>6948.5825</v>
      </c>
      <c r="H105" s="91">
        <f t="shared" si="11"/>
        <v>-6948.5825</v>
      </c>
      <c r="I105" s="103"/>
    </row>
    <row r="106" s="71" customFormat="1" spans="1:9">
      <c r="A106" s="94">
        <v>98</v>
      </c>
      <c r="B106" s="95" t="s">
        <v>455</v>
      </c>
      <c r="C106" s="96">
        <v>1000</v>
      </c>
      <c r="D106" s="96">
        <f t="shared" si="10"/>
        <v>96.43</v>
      </c>
      <c r="E106" s="96">
        <v>96.43</v>
      </c>
      <c r="F106" s="96">
        <f t="shared" si="12"/>
        <v>0</v>
      </c>
      <c r="G106" s="96">
        <v>903.57</v>
      </c>
      <c r="H106" s="91">
        <f t="shared" ref="H106:H121" si="13">-G106</f>
        <v>-903.57</v>
      </c>
      <c r="I106" s="103"/>
    </row>
    <row r="107" s="71" customFormat="1" spans="1:9">
      <c r="A107" s="94">
        <v>99</v>
      </c>
      <c r="B107" s="95" t="s">
        <v>456</v>
      </c>
      <c r="C107" s="96">
        <v>1100</v>
      </c>
      <c r="D107" s="96">
        <f t="shared" si="10"/>
        <v>15.09</v>
      </c>
      <c r="E107" s="96">
        <v>15.09</v>
      </c>
      <c r="F107" s="96">
        <f t="shared" si="12"/>
        <v>0</v>
      </c>
      <c r="G107" s="96">
        <v>1084.91</v>
      </c>
      <c r="H107" s="91">
        <f t="shared" si="13"/>
        <v>-1084.91</v>
      </c>
      <c r="I107" s="103"/>
    </row>
    <row r="108" s="71" customFormat="1" spans="1:9">
      <c r="A108" s="94">
        <v>100</v>
      </c>
      <c r="B108" s="95" t="s">
        <v>457</v>
      </c>
      <c r="C108" s="96">
        <v>1000</v>
      </c>
      <c r="D108" s="96">
        <f t="shared" si="10"/>
        <v>69.3017</v>
      </c>
      <c r="E108" s="96">
        <v>69.3017</v>
      </c>
      <c r="F108" s="96">
        <f t="shared" si="12"/>
        <v>0</v>
      </c>
      <c r="G108" s="96">
        <v>930.6983</v>
      </c>
      <c r="H108" s="91">
        <f t="shared" si="13"/>
        <v>-930.6983</v>
      </c>
      <c r="I108" s="103"/>
    </row>
    <row r="109" s="71" customFormat="1" spans="1:9">
      <c r="A109" s="94">
        <v>101</v>
      </c>
      <c r="B109" s="95" t="s">
        <v>458</v>
      </c>
      <c r="C109" s="96">
        <v>1000</v>
      </c>
      <c r="D109" s="96">
        <f t="shared" si="10"/>
        <v>0</v>
      </c>
      <c r="E109" s="96">
        <v>0</v>
      </c>
      <c r="F109" s="96">
        <f t="shared" si="12"/>
        <v>0</v>
      </c>
      <c r="G109" s="96">
        <v>1000</v>
      </c>
      <c r="H109" s="91">
        <f t="shared" si="13"/>
        <v>-1000</v>
      </c>
      <c r="I109" s="103"/>
    </row>
    <row r="110" s="71" customFormat="1" spans="1:9">
      <c r="A110" s="94">
        <v>102</v>
      </c>
      <c r="B110" s="95" t="s">
        <v>459</v>
      </c>
      <c r="C110" s="96">
        <v>2400</v>
      </c>
      <c r="D110" s="96">
        <f t="shared" si="10"/>
        <v>0</v>
      </c>
      <c r="E110" s="96">
        <v>0</v>
      </c>
      <c r="F110" s="96">
        <f t="shared" si="12"/>
        <v>0</v>
      </c>
      <c r="G110" s="96">
        <v>2400</v>
      </c>
      <c r="H110" s="91">
        <f t="shared" si="13"/>
        <v>-2400</v>
      </c>
      <c r="I110" s="103"/>
    </row>
    <row r="111" s="71" customFormat="1" spans="1:9">
      <c r="A111" s="94">
        <v>103</v>
      </c>
      <c r="B111" s="95" t="s">
        <v>270</v>
      </c>
      <c r="C111" s="96">
        <v>6535</v>
      </c>
      <c r="D111" s="96">
        <f t="shared" si="10"/>
        <v>605.99704</v>
      </c>
      <c r="E111" s="96">
        <v>605.99704</v>
      </c>
      <c r="F111" s="96">
        <f t="shared" si="12"/>
        <v>0</v>
      </c>
      <c r="G111" s="96">
        <v>5929.00296</v>
      </c>
      <c r="H111" s="91">
        <f t="shared" si="13"/>
        <v>-5929.00296</v>
      </c>
      <c r="I111" s="103"/>
    </row>
    <row r="112" s="71" customFormat="1" spans="1:9">
      <c r="A112" s="94">
        <v>104</v>
      </c>
      <c r="B112" s="95" t="s">
        <v>460</v>
      </c>
      <c r="C112" s="96">
        <v>1174.2</v>
      </c>
      <c r="D112" s="96">
        <f t="shared" si="10"/>
        <v>0</v>
      </c>
      <c r="E112" s="96">
        <v>0</v>
      </c>
      <c r="F112" s="96">
        <f t="shared" si="12"/>
        <v>0</v>
      </c>
      <c r="G112" s="96">
        <v>1174.2</v>
      </c>
      <c r="H112" s="91">
        <f t="shared" si="13"/>
        <v>-1174.2</v>
      </c>
      <c r="I112" s="103"/>
    </row>
    <row r="113" s="71" customFormat="1" spans="1:9">
      <c r="A113" s="94">
        <v>105</v>
      </c>
      <c r="B113" s="95" t="s">
        <v>461</v>
      </c>
      <c r="C113" s="96">
        <v>1000</v>
      </c>
      <c r="D113" s="96">
        <f t="shared" si="10"/>
        <v>156.34</v>
      </c>
      <c r="E113" s="96">
        <v>156.34</v>
      </c>
      <c r="F113" s="96">
        <f t="shared" si="12"/>
        <v>0</v>
      </c>
      <c r="G113" s="96">
        <v>843.66</v>
      </c>
      <c r="H113" s="91">
        <f t="shared" si="13"/>
        <v>-843.66</v>
      </c>
      <c r="I113" s="103"/>
    </row>
    <row r="114" s="71" customFormat="1" spans="1:9">
      <c r="A114" s="94">
        <v>106</v>
      </c>
      <c r="B114" s="95" t="s">
        <v>462</v>
      </c>
      <c r="C114" s="96">
        <v>2000</v>
      </c>
      <c r="D114" s="96">
        <f t="shared" si="10"/>
        <v>7.2592</v>
      </c>
      <c r="E114" s="96">
        <v>7.2592</v>
      </c>
      <c r="F114" s="96">
        <f t="shared" si="12"/>
        <v>0</v>
      </c>
      <c r="G114" s="96">
        <v>1992.7408</v>
      </c>
      <c r="H114" s="91">
        <f t="shared" si="13"/>
        <v>-1992.7408</v>
      </c>
      <c r="I114" s="103"/>
    </row>
    <row r="115" s="71" customFormat="1" spans="1:9">
      <c r="A115" s="94">
        <v>107</v>
      </c>
      <c r="B115" s="95" t="s">
        <v>463</v>
      </c>
      <c r="C115" s="96">
        <v>1000</v>
      </c>
      <c r="D115" s="96">
        <f t="shared" si="10"/>
        <v>266.12</v>
      </c>
      <c r="E115" s="96">
        <v>266.12</v>
      </c>
      <c r="F115" s="96">
        <f t="shared" si="12"/>
        <v>0</v>
      </c>
      <c r="G115" s="96">
        <v>733.88</v>
      </c>
      <c r="H115" s="91">
        <f t="shared" si="13"/>
        <v>-733.88</v>
      </c>
      <c r="I115" s="103"/>
    </row>
    <row r="116" s="71" customFormat="1" spans="1:9">
      <c r="A116" s="94">
        <v>108</v>
      </c>
      <c r="B116" s="95" t="s">
        <v>464</v>
      </c>
      <c r="C116" s="96">
        <v>1400</v>
      </c>
      <c r="D116" s="96">
        <f t="shared" si="10"/>
        <v>96.09</v>
      </c>
      <c r="E116" s="96">
        <v>96.09</v>
      </c>
      <c r="F116" s="96">
        <f t="shared" si="12"/>
        <v>0</v>
      </c>
      <c r="G116" s="96">
        <v>1303.91</v>
      </c>
      <c r="H116" s="91">
        <f t="shared" si="13"/>
        <v>-1303.91</v>
      </c>
      <c r="I116" s="103"/>
    </row>
    <row r="117" s="71" customFormat="1" spans="1:9">
      <c r="A117" s="94">
        <v>109</v>
      </c>
      <c r="B117" s="95" t="s">
        <v>465</v>
      </c>
      <c r="C117" s="96">
        <v>3000</v>
      </c>
      <c r="D117" s="96">
        <f t="shared" si="10"/>
        <v>62.1139</v>
      </c>
      <c r="E117" s="96">
        <v>62.1139</v>
      </c>
      <c r="F117" s="96">
        <f t="shared" si="12"/>
        <v>0</v>
      </c>
      <c r="G117" s="96">
        <v>2937.8861</v>
      </c>
      <c r="H117" s="91">
        <f t="shared" si="13"/>
        <v>-2937.8861</v>
      </c>
      <c r="I117" s="103"/>
    </row>
    <row r="118" s="71" customFormat="1" spans="1:9">
      <c r="A118" s="94">
        <v>110</v>
      </c>
      <c r="B118" s="95" t="s">
        <v>466</v>
      </c>
      <c r="C118" s="96">
        <v>1435</v>
      </c>
      <c r="D118" s="96">
        <f t="shared" si="10"/>
        <v>0</v>
      </c>
      <c r="E118" s="96">
        <v>0</v>
      </c>
      <c r="F118" s="96">
        <f t="shared" si="12"/>
        <v>0</v>
      </c>
      <c r="G118" s="96">
        <v>1435</v>
      </c>
      <c r="H118" s="91">
        <f t="shared" si="13"/>
        <v>-1435</v>
      </c>
      <c r="I118" s="103"/>
    </row>
    <row r="119" s="71" customFormat="1" spans="1:9">
      <c r="A119" s="94">
        <v>111</v>
      </c>
      <c r="B119" s="95" t="s">
        <v>467</v>
      </c>
      <c r="C119" s="96">
        <v>7100</v>
      </c>
      <c r="D119" s="96">
        <f t="shared" si="10"/>
        <v>0</v>
      </c>
      <c r="E119" s="96"/>
      <c r="F119" s="96">
        <f t="shared" si="12"/>
        <v>0</v>
      </c>
      <c r="G119" s="96">
        <v>7100</v>
      </c>
      <c r="H119" s="91">
        <f t="shared" si="13"/>
        <v>-7100</v>
      </c>
      <c r="I119" s="103"/>
    </row>
    <row r="120" s="71" customFormat="1" spans="1:9">
      <c r="A120" s="94">
        <v>112</v>
      </c>
      <c r="B120" s="95" t="s">
        <v>468</v>
      </c>
      <c r="C120" s="96">
        <v>20000</v>
      </c>
      <c r="D120" s="96">
        <f t="shared" si="10"/>
        <v>5585.2564</v>
      </c>
      <c r="E120" s="96">
        <v>5585.2564</v>
      </c>
      <c r="F120" s="96">
        <f t="shared" si="12"/>
        <v>0</v>
      </c>
      <c r="G120" s="96">
        <v>14414.7436</v>
      </c>
      <c r="H120" s="91">
        <f t="shared" si="13"/>
        <v>-14414.7436</v>
      </c>
      <c r="I120" s="103"/>
    </row>
    <row r="121" s="71" customFormat="1" spans="1:9">
      <c r="A121" s="94">
        <v>113</v>
      </c>
      <c r="B121" s="95" t="s">
        <v>469</v>
      </c>
      <c r="C121" s="96">
        <f>32600+125573.55</f>
        <v>158173.55</v>
      </c>
      <c r="D121" s="96"/>
      <c r="E121" s="96"/>
      <c r="F121" s="96"/>
      <c r="G121" s="96">
        <f>C121</f>
        <v>158173.55</v>
      </c>
      <c r="H121" s="91">
        <f t="shared" si="13"/>
        <v>-158173.55</v>
      </c>
      <c r="I121" s="103"/>
    </row>
    <row r="122" s="69" customFormat="1" spans="1:9">
      <c r="A122" s="90"/>
      <c r="B122" s="93" t="s">
        <v>285</v>
      </c>
      <c r="C122" s="91">
        <f t="shared" ref="C122:H122" si="14">SUM(C123:C155)</f>
        <v>217878.9283</v>
      </c>
      <c r="D122" s="91">
        <f t="shared" si="14"/>
        <v>77977.78195</v>
      </c>
      <c r="E122" s="91">
        <f t="shared" si="14"/>
        <v>65981.78195</v>
      </c>
      <c r="F122" s="91">
        <f t="shared" si="14"/>
        <v>11996</v>
      </c>
      <c r="G122" s="91">
        <f t="shared" si="14"/>
        <v>139901.14635</v>
      </c>
      <c r="H122" s="91">
        <f t="shared" si="14"/>
        <v>-139901.14635</v>
      </c>
      <c r="I122" s="102"/>
    </row>
    <row r="123" s="69" customFormat="1" spans="1:10">
      <c r="A123" s="95">
        <v>1</v>
      </c>
      <c r="B123" s="95" t="s">
        <v>470</v>
      </c>
      <c r="C123" s="104">
        <v>2785.7</v>
      </c>
      <c r="D123" s="104">
        <v>514.64065</v>
      </c>
      <c r="E123" s="104">
        <v>514.64065</v>
      </c>
      <c r="F123" s="104"/>
      <c r="G123" s="104">
        <v>2271.05935</v>
      </c>
      <c r="H123" s="104">
        <v>-2271.05935</v>
      </c>
      <c r="I123" s="105"/>
      <c r="J123" s="69">
        <v>212</v>
      </c>
    </row>
    <row r="124" s="69" customFormat="1" spans="1:10">
      <c r="A124" s="95">
        <v>2</v>
      </c>
      <c r="B124" s="95" t="s">
        <v>471</v>
      </c>
      <c r="C124" s="104">
        <v>863.7429</v>
      </c>
      <c r="D124" s="104">
        <v>0</v>
      </c>
      <c r="E124" s="104">
        <v>0</v>
      </c>
      <c r="F124" s="104"/>
      <c r="G124" s="104">
        <v>863.7429</v>
      </c>
      <c r="H124" s="104">
        <v>-863.7429</v>
      </c>
      <c r="I124" s="105"/>
      <c r="J124" s="69">
        <v>212</v>
      </c>
    </row>
    <row r="125" s="69" customFormat="1" spans="1:10">
      <c r="A125" s="95">
        <v>3</v>
      </c>
      <c r="B125" s="95" t="s">
        <v>472</v>
      </c>
      <c r="C125" s="104">
        <v>530</v>
      </c>
      <c r="D125" s="104">
        <v>0</v>
      </c>
      <c r="E125" s="104">
        <v>0</v>
      </c>
      <c r="F125" s="104"/>
      <c r="G125" s="104">
        <v>530</v>
      </c>
      <c r="H125" s="104">
        <v>-530</v>
      </c>
      <c r="I125" s="105"/>
      <c r="J125" s="69">
        <v>212</v>
      </c>
    </row>
    <row r="126" s="69" customFormat="1" spans="1:10">
      <c r="A126" s="95">
        <v>4</v>
      </c>
      <c r="B126" s="95" t="s">
        <v>473</v>
      </c>
      <c r="C126" s="104">
        <v>5883</v>
      </c>
      <c r="D126" s="104">
        <v>2378</v>
      </c>
      <c r="E126" s="104">
        <v>2378</v>
      </c>
      <c r="F126" s="104"/>
      <c r="G126" s="104">
        <v>3505</v>
      </c>
      <c r="H126" s="104">
        <v>-3505</v>
      </c>
      <c r="I126" s="105"/>
      <c r="J126" s="69">
        <v>212</v>
      </c>
    </row>
    <row r="127" s="69" customFormat="1" spans="1:10">
      <c r="A127" s="95">
        <v>5</v>
      </c>
      <c r="B127" s="95" t="s">
        <v>474</v>
      </c>
      <c r="C127" s="104">
        <v>900</v>
      </c>
      <c r="D127" s="104">
        <v>0</v>
      </c>
      <c r="E127" s="104">
        <v>0</v>
      </c>
      <c r="F127" s="104"/>
      <c r="G127" s="104">
        <v>900</v>
      </c>
      <c r="H127" s="104">
        <v>-900</v>
      </c>
      <c r="I127" s="105"/>
      <c r="J127" s="69">
        <v>212</v>
      </c>
    </row>
    <row r="128" s="69" customFormat="1" spans="1:10">
      <c r="A128" s="95">
        <v>6</v>
      </c>
      <c r="B128" s="95" t="s">
        <v>475</v>
      </c>
      <c r="C128" s="104">
        <v>2500</v>
      </c>
      <c r="D128" s="104">
        <v>0</v>
      </c>
      <c r="E128" s="104">
        <v>0</v>
      </c>
      <c r="F128" s="104"/>
      <c r="G128" s="104">
        <v>2500</v>
      </c>
      <c r="H128" s="104">
        <v>-2500</v>
      </c>
      <c r="I128" s="105"/>
      <c r="J128" s="69">
        <v>212</v>
      </c>
    </row>
    <row r="129" s="69" customFormat="1" spans="1:11">
      <c r="A129" s="95">
        <v>7</v>
      </c>
      <c r="B129" s="95" t="s">
        <v>325</v>
      </c>
      <c r="C129" s="104">
        <v>3060</v>
      </c>
      <c r="D129" s="104">
        <v>0</v>
      </c>
      <c r="E129" s="104">
        <v>0</v>
      </c>
      <c r="F129" s="104"/>
      <c r="G129" s="104">
        <v>3060</v>
      </c>
      <c r="H129" s="104">
        <v>-3060</v>
      </c>
      <c r="I129" s="105"/>
      <c r="J129" s="69">
        <v>212</v>
      </c>
      <c r="K129" s="69" t="s">
        <v>476</v>
      </c>
    </row>
    <row r="130" s="69" customFormat="1" spans="1:11">
      <c r="A130" s="95"/>
      <c r="B130" s="95" t="s">
        <v>326</v>
      </c>
      <c r="C130" s="104">
        <v>6120</v>
      </c>
      <c r="D130" s="104">
        <v>0</v>
      </c>
      <c r="E130" s="104">
        <v>0</v>
      </c>
      <c r="F130" s="104"/>
      <c r="G130" s="104">
        <v>6120</v>
      </c>
      <c r="H130" s="104">
        <v>-6120</v>
      </c>
      <c r="I130" s="105"/>
      <c r="J130" s="69">
        <v>212</v>
      </c>
      <c r="K130" s="69" t="s">
        <v>476</v>
      </c>
    </row>
    <row r="131" s="69" customFormat="1" spans="1:10">
      <c r="A131" s="95">
        <v>8</v>
      </c>
      <c r="B131" s="95" t="s">
        <v>477</v>
      </c>
      <c r="C131" s="104">
        <v>700</v>
      </c>
      <c r="D131" s="104">
        <v>0</v>
      </c>
      <c r="E131" s="104">
        <v>0</v>
      </c>
      <c r="F131" s="104"/>
      <c r="G131" s="104">
        <v>700</v>
      </c>
      <c r="H131" s="104">
        <v>-700</v>
      </c>
      <c r="I131" s="105"/>
      <c r="J131" s="69">
        <v>212</v>
      </c>
    </row>
    <row r="132" s="69" customFormat="1" spans="1:10">
      <c r="A132" s="95">
        <v>9</v>
      </c>
      <c r="B132" s="95" t="s">
        <v>478</v>
      </c>
      <c r="C132" s="104">
        <v>800</v>
      </c>
      <c r="D132" s="104">
        <v>0</v>
      </c>
      <c r="E132" s="104">
        <v>0</v>
      </c>
      <c r="F132" s="104"/>
      <c r="G132" s="104">
        <v>800</v>
      </c>
      <c r="H132" s="104">
        <v>-800</v>
      </c>
      <c r="I132" s="105"/>
      <c r="J132" s="69">
        <v>212</v>
      </c>
    </row>
    <row r="133" s="69" customFormat="1" spans="1:10">
      <c r="A133" s="95">
        <v>10</v>
      </c>
      <c r="B133" s="95" t="s">
        <v>479</v>
      </c>
      <c r="C133" s="104">
        <v>522.3</v>
      </c>
      <c r="D133" s="104">
        <v>0</v>
      </c>
      <c r="E133" s="104">
        <v>0</v>
      </c>
      <c r="F133" s="104"/>
      <c r="G133" s="104">
        <v>522.3</v>
      </c>
      <c r="H133" s="104">
        <v>-522.3</v>
      </c>
      <c r="I133" s="105"/>
      <c r="J133" s="69">
        <v>212</v>
      </c>
    </row>
    <row r="134" s="69" customFormat="1" spans="1:10">
      <c r="A134" s="95">
        <v>11</v>
      </c>
      <c r="B134" s="95" t="s">
        <v>480</v>
      </c>
      <c r="C134" s="104">
        <v>2649.19</v>
      </c>
      <c r="D134" s="104">
        <v>0</v>
      </c>
      <c r="E134" s="104">
        <v>0</v>
      </c>
      <c r="F134" s="104"/>
      <c r="G134" s="104">
        <v>2649.19</v>
      </c>
      <c r="H134" s="104">
        <v>-2649.19</v>
      </c>
      <c r="I134" s="105"/>
      <c r="J134" s="69">
        <v>212</v>
      </c>
    </row>
    <row r="135" s="69" customFormat="1" spans="1:10">
      <c r="A135" s="95">
        <v>12</v>
      </c>
      <c r="B135" s="95" t="s">
        <v>481</v>
      </c>
      <c r="C135" s="104">
        <v>585.13</v>
      </c>
      <c r="D135" s="104">
        <v>0</v>
      </c>
      <c r="E135" s="104">
        <v>0</v>
      </c>
      <c r="F135" s="104"/>
      <c r="G135" s="104">
        <v>585.13</v>
      </c>
      <c r="H135" s="104">
        <v>-585.13</v>
      </c>
      <c r="I135" s="105"/>
      <c r="J135" s="69">
        <v>212</v>
      </c>
    </row>
    <row r="136" s="69" customFormat="1" spans="1:10">
      <c r="A136" s="95">
        <v>13</v>
      </c>
      <c r="B136" s="95" t="s">
        <v>482</v>
      </c>
      <c r="C136" s="104">
        <v>1186</v>
      </c>
      <c r="D136" s="104">
        <v>0</v>
      </c>
      <c r="E136" s="104">
        <v>0</v>
      </c>
      <c r="F136" s="104"/>
      <c r="G136" s="104">
        <v>1186</v>
      </c>
      <c r="H136" s="104">
        <v>-1186</v>
      </c>
      <c r="I136" s="105"/>
      <c r="J136" s="69">
        <v>212</v>
      </c>
    </row>
    <row r="137" s="69" customFormat="1" spans="1:10">
      <c r="A137" s="95">
        <v>14</v>
      </c>
      <c r="B137" s="95" t="s">
        <v>483</v>
      </c>
      <c r="C137" s="104">
        <v>3000</v>
      </c>
      <c r="D137" s="104">
        <v>303.1413</v>
      </c>
      <c r="E137" s="104">
        <v>303.1413</v>
      </c>
      <c r="F137" s="104"/>
      <c r="G137" s="104">
        <v>2696.8587</v>
      </c>
      <c r="H137" s="104">
        <v>-2696.8587</v>
      </c>
      <c r="I137" s="105"/>
      <c r="J137" s="69">
        <v>212</v>
      </c>
    </row>
    <row r="138" s="69" customFormat="1" spans="1:10">
      <c r="A138" s="95">
        <v>15</v>
      </c>
      <c r="B138" s="95" t="s">
        <v>484</v>
      </c>
      <c r="C138" s="104">
        <v>1600</v>
      </c>
      <c r="D138" s="104">
        <v>0</v>
      </c>
      <c r="E138" s="104">
        <v>0</v>
      </c>
      <c r="F138" s="104"/>
      <c r="G138" s="104">
        <v>1600</v>
      </c>
      <c r="H138" s="104">
        <v>-1600</v>
      </c>
      <c r="I138" s="105"/>
      <c r="J138" s="69">
        <v>212</v>
      </c>
    </row>
    <row r="139" s="69" customFormat="1" spans="1:10">
      <c r="A139" s="95">
        <v>16</v>
      </c>
      <c r="B139" s="95" t="s">
        <v>485</v>
      </c>
      <c r="C139" s="104">
        <v>600</v>
      </c>
      <c r="D139" s="104">
        <v>0</v>
      </c>
      <c r="E139" s="104">
        <v>0</v>
      </c>
      <c r="F139" s="104"/>
      <c r="G139" s="104">
        <v>600</v>
      </c>
      <c r="H139" s="104">
        <v>-600</v>
      </c>
      <c r="I139" s="105"/>
      <c r="J139" s="69">
        <v>212</v>
      </c>
    </row>
    <row r="140" s="69" customFormat="1" spans="1:10">
      <c r="A140" s="95">
        <v>17</v>
      </c>
      <c r="B140" s="95" t="s">
        <v>486</v>
      </c>
      <c r="C140" s="104">
        <v>650</v>
      </c>
      <c r="D140" s="104">
        <v>0</v>
      </c>
      <c r="E140" s="104">
        <v>0</v>
      </c>
      <c r="F140" s="104"/>
      <c r="G140" s="104">
        <v>650</v>
      </c>
      <c r="H140" s="104">
        <v>-650</v>
      </c>
      <c r="I140" s="105"/>
      <c r="J140" s="69">
        <v>212</v>
      </c>
    </row>
    <row r="141" s="69" customFormat="1" spans="1:10">
      <c r="A141" s="95">
        <v>18</v>
      </c>
      <c r="B141" s="95" t="s">
        <v>487</v>
      </c>
      <c r="C141" s="104">
        <v>1470</v>
      </c>
      <c r="D141" s="104">
        <v>800</v>
      </c>
      <c r="E141" s="104">
        <v>800</v>
      </c>
      <c r="F141" s="104"/>
      <c r="G141" s="104">
        <v>670</v>
      </c>
      <c r="H141" s="104">
        <v>-670</v>
      </c>
      <c r="I141" s="105"/>
      <c r="J141" s="69">
        <v>212</v>
      </c>
    </row>
    <row r="142" s="69" customFormat="1" spans="1:10">
      <c r="A142" s="95">
        <v>19</v>
      </c>
      <c r="B142" s="95" t="s">
        <v>488</v>
      </c>
      <c r="C142" s="104">
        <v>4514.4</v>
      </c>
      <c r="D142" s="104">
        <v>0</v>
      </c>
      <c r="E142" s="104">
        <v>0</v>
      </c>
      <c r="F142" s="104"/>
      <c r="G142" s="104">
        <v>4514.4</v>
      </c>
      <c r="H142" s="104">
        <v>-4514.4</v>
      </c>
      <c r="I142" s="105"/>
      <c r="J142" s="69">
        <v>212</v>
      </c>
    </row>
    <row r="143" s="69" customFormat="1" spans="1:10">
      <c r="A143" s="95">
        <v>20</v>
      </c>
      <c r="B143" s="95" t="s">
        <v>489</v>
      </c>
      <c r="C143" s="104">
        <v>19200</v>
      </c>
      <c r="D143" s="104">
        <v>0</v>
      </c>
      <c r="E143" s="104">
        <v>0</v>
      </c>
      <c r="F143" s="104"/>
      <c r="G143" s="104">
        <v>19200</v>
      </c>
      <c r="H143" s="104">
        <v>-19200</v>
      </c>
      <c r="I143" s="105"/>
      <c r="J143" s="69">
        <v>212</v>
      </c>
    </row>
    <row r="144" s="69" customFormat="1" spans="1:11">
      <c r="A144" s="95">
        <v>21</v>
      </c>
      <c r="B144" s="95" t="s">
        <v>327</v>
      </c>
      <c r="C144" s="104">
        <v>7140</v>
      </c>
      <c r="D144" s="104">
        <v>0</v>
      </c>
      <c r="E144" s="104">
        <v>0</v>
      </c>
      <c r="F144" s="104">
        <v>0</v>
      </c>
      <c r="G144" s="104">
        <v>7140</v>
      </c>
      <c r="H144" s="104">
        <v>-7140</v>
      </c>
      <c r="I144" s="105"/>
      <c r="J144" s="69">
        <v>212</v>
      </c>
      <c r="K144" s="69" t="s">
        <v>476</v>
      </c>
    </row>
    <row r="145" s="69" customFormat="1" spans="1:10">
      <c r="A145" s="95">
        <v>22</v>
      </c>
      <c r="B145" s="95" t="s">
        <v>490</v>
      </c>
      <c r="C145" s="104">
        <v>4725</v>
      </c>
      <c r="D145" s="104">
        <v>0</v>
      </c>
      <c r="E145" s="104">
        <v>0</v>
      </c>
      <c r="F145" s="104"/>
      <c r="G145" s="104">
        <v>4725</v>
      </c>
      <c r="H145" s="104">
        <v>-4725</v>
      </c>
      <c r="I145" s="105"/>
      <c r="J145" s="69">
        <v>212</v>
      </c>
    </row>
    <row r="146" s="69" customFormat="1" spans="1:10">
      <c r="A146" s="95">
        <v>23</v>
      </c>
      <c r="B146" s="95" t="s">
        <v>491</v>
      </c>
      <c r="C146" s="104">
        <v>2474.4654</v>
      </c>
      <c r="D146" s="104">
        <v>0</v>
      </c>
      <c r="E146" s="104">
        <v>0</v>
      </c>
      <c r="F146" s="104"/>
      <c r="G146" s="104">
        <v>2474.4654</v>
      </c>
      <c r="H146" s="104">
        <v>-2474.4654</v>
      </c>
      <c r="I146" s="105"/>
      <c r="J146" s="69">
        <v>212</v>
      </c>
    </row>
    <row r="147" s="69" customFormat="1" spans="1:10">
      <c r="A147" s="95">
        <v>24</v>
      </c>
      <c r="B147" s="95" t="s">
        <v>492</v>
      </c>
      <c r="C147" s="104">
        <v>2050</v>
      </c>
      <c r="D147" s="104">
        <v>234</v>
      </c>
      <c r="E147" s="104">
        <v>234</v>
      </c>
      <c r="F147" s="104"/>
      <c r="G147" s="104">
        <v>1816</v>
      </c>
      <c r="H147" s="104">
        <v>-1816</v>
      </c>
      <c r="I147" s="105"/>
      <c r="J147" s="69">
        <v>212</v>
      </c>
    </row>
    <row r="148" s="69" customFormat="1" spans="1:10">
      <c r="A148" s="95">
        <v>25</v>
      </c>
      <c r="B148" s="95" t="s">
        <v>493</v>
      </c>
      <c r="C148" s="104">
        <v>9000</v>
      </c>
      <c r="D148" s="104">
        <v>8435</v>
      </c>
      <c r="E148" s="104">
        <v>8435</v>
      </c>
      <c r="F148" s="104"/>
      <c r="G148" s="104">
        <v>565</v>
      </c>
      <c r="H148" s="104">
        <v>-565</v>
      </c>
      <c r="I148" s="105"/>
      <c r="J148" s="69">
        <v>232</v>
      </c>
    </row>
    <row r="149" s="69" customFormat="1" spans="1:11">
      <c r="A149" s="95">
        <v>28</v>
      </c>
      <c r="B149" s="95" t="s">
        <v>328</v>
      </c>
      <c r="C149" s="104">
        <v>15000</v>
      </c>
      <c r="D149" s="104">
        <v>0</v>
      </c>
      <c r="E149" s="104">
        <v>0</v>
      </c>
      <c r="F149" s="104"/>
      <c r="G149" s="104">
        <v>15000</v>
      </c>
      <c r="H149" s="104">
        <v>-15000</v>
      </c>
      <c r="I149" s="105"/>
      <c r="J149" s="69">
        <v>212</v>
      </c>
      <c r="K149" s="69" t="s">
        <v>476</v>
      </c>
    </row>
    <row r="150" s="69" customFormat="1" spans="1:10">
      <c r="A150" s="95">
        <v>30</v>
      </c>
      <c r="B150" s="95" t="s">
        <v>494</v>
      </c>
      <c r="C150" s="104">
        <v>38254</v>
      </c>
      <c r="D150" s="104">
        <v>13217</v>
      </c>
      <c r="E150" s="104">
        <v>8782</v>
      </c>
      <c r="F150" s="104">
        <v>4435</v>
      </c>
      <c r="G150" s="104">
        <v>25037</v>
      </c>
      <c r="H150" s="104">
        <v>-25037</v>
      </c>
      <c r="I150" s="105"/>
      <c r="J150" s="69">
        <v>212</v>
      </c>
    </row>
    <row r="151" s="69" customFormat="1" spans="1:10">
      <c r="A151" s="95">
        <v>31</v>
      </c>
      <c r="B151" s="95" t="s">
        <v>495</v>
      </c>
      <c r="C151" s="104">
        <v>20500</v>
      </c>
      <c r="D151" s="104">
        <v>15514</v>
      </c>
      <c r="E151" s="104">
        <v>13949</v>
      </c>
      <c r="F151" s="104">
        <v>1565</v>
      </c>
      <c r="G151" s="104">
        <v>4986</v>
      </c>
      <c r="H151" s="104">
        <v>-4986</v>
      </c>
      <c r="I151" s="105"/>
      <c r="J151" s="69">
        <v>212</v>
      </c>
    </row>
    <row r="152" s="69" customFormat="1" spans="1:10">
      <c r="A152" s="95">
        <v>32</v>
      </c>
      <c r="B152" s="95" t="s">
        <v>496</v>
      </c>
      <c r="C152" s="104">
        <v>20500</v>
      </c>
      <c r="D152" s="104">
        <v>20859</v>
      </c>
      <c r="E152" s="104">
        <v>17393</v>
      </c>
      <c r="F152" s="104">
        <v>3466</v>
      </c>
      <c r="G152" s="104">
        <v>-359</v>
      </c>
      <c r="H152" s="104">
        <v>359</v>
      </c>
      <c r="I152" s="105"/>
      <c r="J152" s="69">
        <v>212</v>
      </c>
    </row>
    <row r="153" s="69" customFormat="1" spans="1:10">
      <c r="A153" s="95">
        <v>34</v>
      </c>
      <c r="B153" s="95" t="s">
        <v>497</v>
      </c>
      <c r="C153" s="104">
        <v>20550</v>
      </c>
      <c r="D153" s="104">
        <v>11939</v>
      </c>
      <c r="E153" s="104">
        <v>11939</v>
      </c>
      <c r="F153" s="104"/>
      <c r="G153" s="104">
        <v>8611</v>
      </c>
      <c r="H153" s="104">
        <v>-8611</v>
      </c>
      <c r="I153" s="105"/>
      <c r="J153" s="69">
        <v>212</v>
      </c>
    </row>
    <row r="154" s="69" customFormat="1" spans="1:11">
      <c r="A154" s="95">
        <v>35</v>
      </c>
      <c r="B154" s="95" t="s">
        <v>498</v>
      </c>
      <c r="C154" s="104">
        <v>483</v>
      </c>
      <c r="D154" s="104">
        <v>0</v>
      </c>
      <c r="E154" s="104"/>
      <c r="F154" s="104"/>
      <c r="G154" s="104">
        <v>483</v>
      </c>
      <c r="H154" s="104">
        <v>-483</v>
      </c>
      <c r="I154" s="105"/>
      <c r="J154" s="69">
        <v>212</v>
      </c>
      <c r="K154" s="69">
        <v>28710.85365</v>
      </c>
    </row>
    <row r="155" s="69" customFormat="1" spans="1:10">
      <c r="A155" s="95">
        <v>36</v>
      </c>
      <c r="B155" s="95" t="s">
        <v>499</v>
      </c>
      <c r="C155" s="104">
        <f>17083</f>
        <v>17083</v>
      </c>
      <c r="D155" s="104">
        <v>3784</v>
      </c>
      <c r="E155" s="104">
        <v>1254</v>
      </c>
      <c r="F155" s="104">
        <v>2530</v>
      </c>
      <c r="G155" s="104">
        <v>13299</v>
      </c>
      <c r="H155" s="104">
        <v>-13299</v>
      </c>
      <c r="I155" s="105"/>
      <c r="J155" s="69">
        <v>212</v>
      </c>
    </row>
    <row r="156" s="72" customFormat="1" spans="1:9">
      <c r="A156" s="106" t="s">
        <v>241</v>
      </c>
      <c r="B156" s="107" t="s">
        <v>242</v>
      </c>
      <c r="C156" s="108">
        <f t="shared" ref="C156:H156" si="15">C157+C201</f>
        <v>0</v>
      </c>
      <c r="D156" s="91">
        <f>C156-G156</f>
        <v>403922</v>
      </c>
      <c r="E156" s="108">
        <f t="shared" si="15"/>
        <v>403922</v>
      </c>
      <c r="F156" s="108">
        <f t="shared" si="15"/>
        <v>0</v>
      </c>
      <c r="G156" s="108">
        <f t="shared" si="15"/>
        <v>-403922</v>
      </c>
      <c r="H156" s="108">
        <f t="shared" si="15"/>
        <v>403922</v>
      </c>
      <c r="I156" s="114"/>
    </row>
    <row r="157" s="72" customFormat="1" spans="1:9">
      <c r="A157" s="90"/>
      <c r="B157" s="109" t="s">
        <v>371</v>
      </c>
      <c r="C157" s="91">
        <f t="shared" ref="C157:H157" si="16">SUM(C158:C200)</f>
        <v>0</v>
      </c>
      <c r="D157" s="91">
        <f t="shared" si="16"/>
        <v>235310</v>
      </c>
      <c r="E157" s="91">
        <f t="shared" si="16"/>
        <v>235310</v>
      </c>
      <c r="F157" s="91">
        <f t="shared" si="16"/>
        <v>0</v>
      </c>
      <c r="G157" s="91">
        <f t="shared" si="16"/>
        <v>-235310</v>
      </c>
      <c r="H157" s="91">
        <f t="shared" si="16"/>
        <v>235310</v>
      </c>
      <c r="I157" s="109"/>
    </row>
    <row r="158" s="72" customFormat="1" spans="1:9">
      <c r="A158" s="94">
        <v>1</v>
      </c>
      <c r="B158" s="95" t="s">
        <v>500</v>
      </c>
      <c r="C158" s="96">
        <v>0</v>
      </c>
      <c r="D158" s="96">
        <f>E158+F158</f>
        <v>3500</v>
      </c>
      <c r="E158" s="96">
        <v>3500</v>
      </c>
      <c r="F158" s="96"/>
      <c r="G158" s="96">
        <f>-H158</f>
        <v>-3500</v>
      </c>
      <c r="H158" s="96">
        <v>3500</v>
      </c>
      <c r="I158" s="103"/>
    </row>
    <row r="159" s="72" customFormat="1" spans="1:9">
      <c r="A159" s="94">
        <v>2</v>
      </c>
      <c r="B159" s="95" t="s">
        <v>501</v>
      </c>
      <c r="C159" s="96">
        <v>0</v>
      </c>
      <c r="D159" s="96">
        <f t="shared" ref="D159:D190" si="17">E159+F159</f>
        <v>7049</v>
      </c>
      <c r="E159" s="96">
        <v>7049</v>
      </c>
      <c r="F159" s="96"/>
      <c r="G159" s="96">
        <f t="shared" ref="G159:G200" si="18">-H159</f>
        <v>-7049</v>
      </c>
      <c r="H159" s="96">
        <v>7049</v>
      </c>
      <c r="I159" s="103"/>
    </row>
    <row r="160" s="72" customFormat="1" spans="1:9">
      <c r="A160" s="94">
        <v>3</v>
      </c>
      <c r="B160" s="95" t="s">
        <v>414</v>
      </c>
      <c r="C160" s="96">
        <v>0</v>
      </c>
      <c r="D160" s="96">
        <f t="shared" si="17"/>
        <v>121</v>
      </c>
      <c r="E160" s="96">
        <v>121</v>
      </c>
      <c r="F160" s="96"/>
      <c r="G160" s="96">
        <f t="shared" si="18"/>
        <v>-121</v>
      </c>
      <c r="H160" s="96">
        <v>121</v>
      </c>
      <c r="I160" s="103"/>
    </row>
    <row r="161" s="72" customFormat="1" spans="1:9">
      <c r="A161" s="94">
        <v>4</v>
      </c>
      <c r="B161" s="95" t="s">
        <v>502</v>
      </c>
      <c r="C161" s="96">
        <v>0</v>
      </c>
      <c r="D161" s="96">
        <f t="shared" si="17"/>
        <v>3491</v>
      </c>
      <c r="E161" s="96">
        <v>3491</v>
      </c>
      <c r="F161" s="96"/>
      <c r="G161" s="96">
        <f t="shared" si="18"/>
        <v>-3491</v>
      </c>
      <c r="H161" s="96">
        <v>3491</v>
      </c>
      <c r="I161" s="115"/>
    </row>
    <row r="162" s="72" customFormat="1" spans="1:9">
      <c r="A162" s="94">
        <v>5</v>
      </c>
      <c r="B162" s="95" t="s">
        <v>503</v>
      </c>
      <c r="C162" s="96">
        <v>0</v>
      </c>
      <c r="D162" s="96">
        <f t="shared" si="17"/>
        <v>1979</v>
      </c>
      <c r="E162" s="96">
        <v>1979</v>
      </c>
      <c r="F162" s="96"/>
      <c r="G162" s="96">
        <f t="shared" si="18"/>
        <v>-1979</v>
      </c>
      <c r="H162" s="96">
        <v>1979</v>
      </c>
      <c r="I162" s="115"/>
    </row>
    <row r="163" s="72" customFormat="1" spans="1:9">
      <c r="A163" s="94">
        <v>6</v>
      </c>
      <c r="B163" s="110" t="s">
        <v>504</v>
      </c>
      <c r="C163" s="96">
        <v>0</v>
      </c>
      <c r="D163" s="96">
        <f t="shared" si="17"/>
        <v>3767</v>
      </c>
      <c r="E163" s="96">
        <v>3767</v>
      </c>
      <c r="F163" s="96"/>
      <c r="G163" s="96">
        <f t="shared" si="18"/>
        <v>-3767</v>
      </c>
      <c r="H163" s="96">
        <v>3767</v>
      </c>
      <c r="I163" s="115"/>
    </row>
    <row r="164" s="72" customFormat="1" spans="1:9">
      <c r="A164" s="94">
        <v>7</v>
      </c>
      <c r="B164" s="95" t="s">
        <v>505</v>
      </c>
      <c r="C164" s="96">
        <v>0</v>
      </c>
      <c r="D164" s="96">
        <f t="shared" si="17"/>
        <v>200</v>
      </c>
      <c r="E164" s="96">
        <v>200</v>
      </c>
      <c r="F164" s="96"/>
      <c r="G164" s="96">
        <f t="shared" si="18"/>
        <v>-200</v>
      </c>
      <c r="H164" s="96">
        <v>200</v>
      </c>
      <c r="I164" s="115"/>
    </row>
    <row r="165" s="72" customFormat="1" spans="1:9">
      <c r="A165" s="94">
        <v>8</v>
      </c>
      <c r="B165" s="95" t="s">
        <v>506</v>
      </c>
      <c r="C165" s="96">
        <v>0</v>
      </c>
      <c r="D165" s="96">
        <f t="shared" si="17"/>
        <v>1662</v>
      </c>
      <c r="E165" s="96">
        <v>1662</v>
      </c>
      <c r="F165" s="96"/>
      <c r="G165" s="96">
        <f t="shared" si="18"/>
        <v>-1662</v>
      </c>
      <c r="H165" s="96">
        <v>1662</v>
      </c>
      <c r="I165" s="115"/>
    </row>
    <row r="166" s="72" customFormat="1" spans="1:9">
      <c r="A166" s="94">
        <v>9</v>
      </c>
      <c r="B166" s="95" t="s">
        <v>507</v>
      </c>
      <c r="C166" s="96">
        <v>0</v>
      </c>
      <c r="D166" s="96">
        <f t="shared" si="17"/>
        <v>150</v>
      </c>
      <c r="E166" s="96">
        <v>150</v>
      </c>
      <c r="F166" s="96"/>
      <c r="G166" s="96">
        <f t="shared" si="18"/>
        <v>-150</v>
      </c>
      <c r="H166" s="96">
        <v>150</v>
      </c>
      <c r="I166" s="115"/>
    </row>
    <row r="167" s="72" customFormat="1" spans="1:9">
      <c r="A167" s="94">
        <v>10</v>
      </c>
      <c r="B167" s="95" t="s">
        <v>508</v>
      </c>
      <c r="C167" s="96">
        <v>0</v>
      </c>
      <c r="D167" s="96">
        <f t="shared" si="17"/>
        <v>750</v>
      </c>
      <c r="E167" s="96">
        <v>750</v>
      </c>
      <c r="F167" s="96"/>
      <c r="G167" s="96">
        <f t="shared" si="18"/>
        <v>-750</v>
      </c>
      <c r="H167" s="96">
        <v>750</v>
      </c>
      <c r="I167" s="115"/>
    </row>
    <row r="168" s="72" customFormat="1" spans="1:9">
      <c r="A168" s="94">
        <v>11</v>
      </c>
      <c r="B168" s="95" t="s">
        <v>509</v>
      </c>
      <c r="C168" s="96">
        <v>0</v>
      </c>
      <c r="D168" s="96">
        <f t="shared" si="17"/>
        <v>883</v>
      </c>
      <c r="E168" s="96">
        <v>883</v>
      </c>
      <c r="F168" s="96"/>
      <c r="G168" s="96">
        <f t="shared" si="18"/>
        <v>-883</v>
      </c>
      <c r="H168" s="96">
        <v>883</v>
      </c>
      <c r="I168" s="115"/>
    </row>
    <row r="169" s="72" customFormat="1" spans="1:9">
      <c r="A169" s="94">
        <v>12</v>
      </c>
      <c r="B169" s="95" t="s">
        <v>510</v>
      </c>
      <c r="C169" s="96">
        <v>0</v>
      </c>
      <c r="D169" s="96">
        <f t="shared" si="17"/>
        <v>200</v>
      </c>
      <c r="E169" s="96">
        <v>200</v>
      </c>
      <c r="F169" s="96"/>
      <c r="G169" s="96">
        <f t="shared" si="18"/>
        <v>-200</v>
      </c>
      <c r="H169" s="96">
        <v>200</v>
      </c>
      <c r="I169" s="115"/>
    </row>
    <row r="170" s="72" customFormat="1" spans="1:9">
      <c r="A170" s="94">
        <v>13</v>
      </c>
      <c r="B170" s="95" t="s">
        <v>511</v>
      </c>
      <c r="C170" s="96">
        <v>0</v>
      </c>
      <c r="D170" s="96">
        <f t="shared" si="17"/>
        <v>3000</v>
      </c>
      <c r="E170" s="96">
        <v>3000</v>
      </c>
      <c r="F170" s="96"/>
      <c r="G170" s="96">
        <f t="shared" si="18"/>
        <v>-3000</v>
      </c>
      <c r="H170" s="96">
        <v>3000</v>
      </c>
      <c r="I170" s="115"/>
    </row>
    <row r="171" s="72" customFormat="1" spans="1:9">
      <c r="A171" s="94">
        <v>14</v>
      </c>
      <c r="B171" s="95" t="s">
        <v>512</v>
      </c>
      <c r="C171" s="96">
        <v>0</v>
      </c>
      <c r="D171" s="96">
        <f t="shared" si="17"/>
        <v>4000</v>
      </c>
      <c r="E171" s="96">
        <v>4000</v>
      </c>
      <c r="F171" s="96"/>
      <c r="G171" s="96">
        <f t="shared" si="18"/>
        <v>-4000</v>
      </c>
      <c r="H171" s="96">
        <v>4000</v>
      </c>
      <c r="I171" s="115"/>
    </row>
    <row r="172" s="72" customFormat="1" spans="1:9">
      <c r="A172" s="94">
        <v>15</v>
      </c>
      <c r="B172" s="95" t="s">
        <v>513</v>
      </c>
      <c r="C172" s="96">
        <v>0</v>
      </c>
      <c r="D172" s="96">
        <f t="shared" si="17"/>
        <v>101800</v>
      </c>
      <c r="E172" s="96">
        <v>101800</v>
      </c>
      <c r="F172" s="96"/>
      <c r="G172" s="96">
        <f t="shared" si="18"/>
        <v>-101800</v>
      </c>
      <c r="H172" s="96">
        <v>101800</v>
      </c>
      <c r="I172" s="115"/>
    </row>
    <row r="173" s="72" customFormat="1" spans="1:9">
      <c r="A173" s="94">
        <v>16</v>
      </c>
      <c r="B173" s="95" t="s">
        <v>514</v>
      </c>
      <c r="C173" s="96">
        <v>0</v>
      </c>
      <c r="D173" s="96">
        <f t="shared" si="17"/>
        <v>1300</v>
      </c>
      <c r="E173" s="96">
        <v>1300</v>
      </c>
      <c r="F173" s="96"/>
      <c r="G173" s="96">
        <f t="shared" si="18"/>
        <v>-1300</v>
      </c>
      <c r="H173" s="96">
        <v>1300</v>
      </c>
      <c r="I173" s="115"/>
    </row>
    <row r="174" s="72" customFormat="1" spans="1:9">
      <c r="A174" s="94">
        <v>17</v>
      </c>
      <c r="B174" s="95" t="s">
        <v>515</v>
      </c>
      <c r="C174" s="96">
        <v>0</v>
      </c>
      <c r="D174" s="96">
        <f t="shared" si="17"/>
        <v>1700</v>
      </c>
      <c r="E174" s="96">
        <v>1700</v>
      </c>
      <c r="F174" s="96"/>
      <c r="G174" s="96">
        <f t="shared" si="18"/>
        <v>-1700</v>
      </c>
      <c r="H174" s="96">
        <v>1700</v>
      </c>
      <c r="I174" s="115"/>
    </row>
    <row r="175" s="72" customFormat="1" spans="1:9">
      <c r="A175" s="94">
        <v>18</v>
      </c>
      <c r="B175" s="95" t="s">
        <v>516</v>
      </c>
      <c r="C175" s="96">
        <v>0</v>
      </c>
      <c r="D175" s="96">
        <f t="shared" si="17"/>
        <v>2500</v>
      </c>
      <c r="E175" s="96">
        <v>2500</v>
      </c>
      <c r="F175" s="96"/>
      <c r="G175" s="96">
        <f t="shared" si="18"/>
        <v>-2500</v>
      </c>
      <c r="H175" s="96">
        <v>2500</v>
      </c>
      <c r="I175" s="115"/>
    </row>
    <row r="176" s="72" customFormat="1" spans="1:9">
      <c r="A176" s="94">
        <v>19</v>
      </c>
      <c r="B176" s="95" t="s">
        <v>517</v>
      </c>
      <c r="C176" s="96">
        <v>0</v>
      </c>
      <c r="D176" s="96">
        <f t="shared" si="17"/>
        <v>1522</v>
      </c>
      <c r="E176" s="96">
        <v>1522</v>
      </c>
      <c r="F176" s="96"/>
      <c r="G176" s="96">
        <f t="shared" si="18"/>
        <v>-1522</v>
      </c>
      <c r="H176" s="96">
        <v>1522</v>
      </c>
      <c r="I176" s="115"/>
    </row>
    <row r="177" s="72" customFormat="1" spans="1:9">
      <c r="A177" s="94">
        <v>20</v>
      </c>
      <c r="B177" s="95" t="s">
        <v>518</v>
      </c>
      <c r="C177" s="96">
        <v>0</v>
      </c>
      <c r="D177" s="96">
        <f t="shared" si="17"/>
        <v>1974</v>
      </c>
      <c r="E177" s="96">
        <v>1974</v>
      </c>
      <c r="F177" s="96"/>
      <c r="G177" s="96">
        <f t="shared" si="18"/>
        <v>-1974</v>
      </c>
      <c r="H177" s="96">
        <v>1974</v>
      </c>
      <c r="I177" s="115"/>
    </row>
    <row r="178" s="72" customFormat="1" spans="1:9">
      <c r="A178" s="94">
        <v>21</v>
      </c>
      <c r="B178" s="95" t="s">
        <v>519</v>
      </c>
      <c r="C178" s="96">
        <v>0</v>
      </c>
      <c r="D178" s="96">
        <f t="shared" si="17"/>
        <v>1257</v>
      </c>
      <c r="E178" s="96">
        <v>1257</v>
      </c>
      <c r="F178" s="96"/>
      <c r="G178" s="96">
        <f t="shared" si="18"/>
        <v>-1257</v>
      </c>
      <c r="H178" s="96">
        <v>1257</v>
      </c>
      <c r="I178" s="115"/>
    </row>
    <row r="179" s="72" customFormat="1" spans="1:9">
      <c r="A179" s="94">
        <v>22</v>
      </c>
      <c r="B179" s="95" t="s">
        <v>520</v>
      </c>
      <c r="C179" s="96">
        <v>0</v>
      </c>
      <c r="D179" s="96">
        <f t="shared" si="17"/>
        <v>5702</v>
      </c>
      <c r="E179" s="96">
        <v>5702</v>
      </c>
      <c r="F179" s="96"/>
      <c r="G179" s="96">
        <f t="shared" si="18"/>
        <v>-5702</v>
      </c>
      <c r="H179" s="96">
        <v>5702</v>
      </c>
      <c r="I179" s="115"/>
    </row>
    <row r="180" s="72" customFormat="1" spans="1:9">
      <c r="A180" s="94">
        <v>23</v>
      </c>
      <c r="B180" s="95" t="s">
        <v>521</v>
      </c>
      <c r="C180" s="96">
        <v>0</v>
      </c>
      <c r="D180" s="96">
        <f t="shared" si="17"/>
        <v>781</v>
      </c>
      <c r="E180" s="96">
        <v>781</v>
      </c>
      <c r="F180" s="96"/>
      <c r="G180" s="96">
        <f t="shared" si="18"/>
        <v>-781</v>
      </c>
      <c r="H180" s="96">
        <v>781</v>
      </c>
      <c r="I180" s="115"/>
    </row>
    <row r="181" s="72" customFormat="1" spans="1:9">
      <c r="A181" s="94">
        <v>24</v>
      </c>
      <c r="B181" s="95" t="s">
        <v>522</v>
      </c>
      <c r="C181" s="96">
        <v>0</v>
      </c>
      <c r="D181" s="96">
        <f t="shared" si="17"/>
        <v>1260</v>
      </c>
      <c r="E181" s="96">
        <v>1260</v>
      </c>
      <c r="F181" s="96"/>
      <c r="G181" s="96">
        <f t="shared" si="18"/>
        <v>-1260</v>
      </c>
      <c r="H181" s="96">
        <v>1260</v>
      </c>
      <c r="I181" s="115"/>
    </row>
    <row r="182" s="72" customFormat="1" spans="1:9">
      <c r="A182" s="94">
        <v>25</v>
      </c>
      <c r="B182" s="95" t="s">
        <v>523</v>
      </c>
      <c r="C182" s="96">
        <v>0</v>
      </c>
      <c r="D182" s="96">
        <f t="shared" si="17"/>
        <v>1231</v>
      </c>
      <c r="E182" s="96">
        <v>1231</v>
      </c>
      <c r="F182" s="96"/>
      <c r="G182" s="96">
        <f t="shared" si="18"/>
        <v>-1231</v>
      </c>
      <c r="H182" s="96">
        <v>1231</v>
      </c>
      <c r="I182" s="115"/>
    </row>
    <row r="183" s="72" customFormat="1" spans="1:9">
      <c r="A183" s="94">
        <v>26</v>
      </c>
      <c r="B183" s="95" t="s">
        <v>524</v>
      </c>
      <c r="C183" s="96">
        <v>0</v>
      </c>
      <c r="D183" s="96">
        <f t="shared" si="17"/>
        <v>3943</v>
      </c>
      <c r="E183" s="96">
        <v>3943</v>
      </c>
      <c r="F183" s="96"/>
      <c r="G183" s="96">
        <f t="shared" si="18"/>
        <v>-3943</v>
      </c>
      <c r="H183" s="96">
        <v>3943</v>
      </c>
      <c r="I183" s="115"/>
    </row>
    <row r="184" s="72" customFormat="1" spans="1:9">
      <c r="A184" s="94">
        <v>27</v>
      </c>
      <c r="B184" s="95" t="s">
        <v>525</v>
      </c>
      <c r="C184" s="96">
        <v>0</v>
      </c>
      <c r="D184" s="96">
        <f t="shared" si="17"/>
        <v>4000</v>
      </c>
      <c r="E184" s="96">
        <v>4000</v>
      </c>
      <c r="F184" s="96"/>
      <c r="G184" s="96">
        <f t="shared" si="18"/>
        <v>-4000</v>
      </c>
      <c r="H184" s="96">
        <v>4000</v>
      </c>
      <c r="I184" s="115"/>
    </row>
    <row r="185" s="72" customFormat="1" spans="1:9">
      <c r="A185" s="94">
        <v>28</v>
      </c>
      <c r="B185" s="95" t="s">
        <v>526</v>
      </c>
      <c r="C185" s="96">
        <v>0</v>
      </c>
      <c r="D185" s="96">
        <f t="shared" si="17"/>
        <v>10000</v>
      </c>
      <c r="E185" s="96">
        <v>10000</v>
      </c>
      <c r="F185" s="96"/>
      <c r="G185" s="96">
        <f t="shared" si="18"/>
        <v>-10000</v>
      </c>
      <c r="H185" s="96">
        <v>10000</v>
      </c>
      <c r="I185" s="115"/>
    </row>
    <row r="186" s="72" customFormat="1" spans="1:9">
      <c r="A186" s="94">
        <v>29</v>
      </c>
      <c r="B186" s="95" t="s">
        <v>527</v>
      </c>
      <c r="C186" s="96">
        <v>0</v>
      </c>
      <c r="D186" s="96">
        <f t="shared" si="17"/>
        <v>9322</v>
      </c>
      <c r="E186" s="96">
        <v>9322</v>
      </c>
      <c r="F186" s="96"/>
      <c r="G186" s="96">
        <f t="shared" si="18"/>
        <v>-9322</v>
      </c>
      <c r="H186" s="96">
        <v>9322</v>
      </c>
      <c r="I186" s="115"/>
    </row>
    <row r="187" s="72" customFormat="1" spans="1:9">
      <c r="A187" s="94">
        <v>30</v>
      </c>
      <c r="B187" s="111" t="s">
        <v>528</v>
      </c>
      <c r="C187" s="96">
        <v>0</v>
      </c>
      <c r="D187" s="96">
        <f t="shared" si="17"/>
        <v>5000</v>
      </c>
      <c r="E187" s="96">
        <v>5000</v>
      </c>
      <c r="F187" s="96"/>
      <c r="G187" s="96">
        <f t="shared" si="18"/>
        <v>-5000</v>
      </c>
      <c r="H187" s="96">
        <v>5000</v>
      </c>
      <c r="I187" s="116"/>
    </row>
    <row r="188" s="73" customFormat="1" spans="1:9">
      <c r="A188" s="94">
        <v>31</v>
      </c>
      <c r="B188" s="112" t="s">
        <v>529</v>
      </c>
      <c r="C188" s="96">
        <v>0</v>
      </c>
      <c r="D188" s="96">
        <f t="shared" si="17"/>
        <v>1745</v>
      </c>
      <c r="E188" s="113">
        <v>1745</v>
      </c>
      <c r="F188" s="96"/>
      <c r="G188" s="96">
        <f t="shared" si="18"/>
        <v>-1745</v>
      </c>
      <c r="H188" s="113">
        <v>1745</v>
      </c>
      <c r="I188" s="116"/>
    </row>
    <row r="189" s="73" customFormat="1" spans="1:9">
      <c r="A189" s="94">
        <v>32</v>
      </c>
      <c r="B189" s="112" t="s">
        <v>530</v>
      </c>
      <c r="C189" s="96">
        <v>0</v>
      </c>
      <c r="D189" s="96">
        <f t="shared" si="17"/>
        <v>2500</v>
      </c>
      <c r="E189" s="113">
        <v>2500</v>
      </c>
      <c r="F189" s="96"/>
      <c r="G189" s="96">
        <f t="shared" si="18"/>
        <v>-2500</v>
      </c>
      <c r="H189" s="113">
        <v>2500</v>
      </c>
      <c r="I189" s="116"/>
    </row>
    <row r="190" s="73" customFormat="1" spans="1:9">
      <c r="A190" s="94">
        <v>33</v>
      </c>
      <c r="B190" s="112" t="s">
        <v>531</v>
      </c>
      <c r="C190" s="96">
        <v>0</v>
      </c>
      <c r="D190" s="96">
        <f t="shared" ref="D190:D221" si="19">E190+F190</f>
        <v>950</v>
      </c>
      <c r="E190" s="113">
        <v>950</v>
      </c>
      <c r="F190" s="96"/>
      <c r="G190" s="96">
        <f t="shared" si="18"/>
        <v>-950</v>
      </c>
      <c r="H190" s="113">
        <v>950</v>
      </c>
      <c r="I190" s="116"/>
    </row>
    <row r="191" s="74" customFormat="1" spans="1:9">
      <c r="A191" s="94">
        <v>34</v>
      </c>
      <c r="B191" s="112" t="s">
        <v>532</v>
      </c>
      <c r="C191" s="96">
        <v>0</v>
      </c>
      <c r="D191" s="96">
        <f t="shared" si="19"/>
        <v>1170</v>
      </c>
      <c r="E191" s="113">
        <v>1170</v>
      </c>
      <c r="F191" s="96"/>
      <c r="G191" s="96">
        <f t="shared" si="18"/>
        <v>-1170</v>
      </c>
      <c r="H191" s="113">
        <v>1170</v>
      </c>
      <c r="I191" s="116"/>
    </row>
    <row r="192" s="74" customFormat="1" spans="1:9">
      <c r="A192" s="94">
        <v>35</v>
      </c>
      <c r="B192" s="112" t="s">
        <v>533</v>
      </c>
      <c r="C192" s="96">
        <v>0</v>
      </c>
      <c r="D192" s="96">
        <f t="shared" si="19"/>
        <v>401</v>
      </c>
      <c r="E192" s="113">
        <v>401</v>
      </c>
      <c r="F192" s="96"/>
      <c r="G192" s="96">
        <f t="shared" si="18"/>
        <v>-401</v>
      </c>
      <c r="H192" s="113">
        <v>401</v>
      </c>
      <c r="I192" s="116"/>
    </row>
    <row r="193" s="74" customFormat="1" spans="1:9">
      <c r="A193" s="94">
        <v>36</v>
      </c>
      <c r="B193" s="112" t="s">
        <v>534</v>
      </c>
      <c r="C193" s="96">
        <v>0</v>
      </c>
      <c r="D193" s="96">
        <f t="shared" si="19"/>
        <v>2500</v>
      </c>
      <c r="E193" s="113">
        <v>2500</v>
      </c>
      <c r="F193" s="96"/>
      <c r="G193" s="96">
        <f t="shared" si="18"/>
        <v>-2500</v>
      </c>
      <c r="H193" s="113">
        <v>2500</v>
      </c>
      <c r="I193" s="116"/>
    </row>
    <row r="194" s="74" customFormat="1" spans="1:9">
      <c r="A194" s="94">
        <v>37</v>
      </c>
      <c r="B194" s="112" t="s">
        <v>535</v>
      </c>
      <c r="C194" s="96">
        <v>0</v>
      </c>
      <c r="D194" s="96">
        <f t="shared" si="19"/>
        <v>1500</v>
      </c>
      <c r="E194" s="113">
        <v>1500</v>
      </c>
      <c r="F194" s="96"/>
      <c r="G194" s="96">
        <f t="shared" si="18"/>
        <v>-1500</v>
      </c>
      <c r="H194" s="113">
        <v>1500</v>
      </c>
      <c r="I194" s="116"/>
    </row>
    <row r="195" s="74" customFormat="1" spans="1:9">
      <c r="A195" s="94">
        <v>38</v>
      </c>
      <c r="B195" s="112" t="s">
        <v>536</v>
      </c>
      <c r="C195" s="96">
        <v>0</v>
      </c>
      <c r="D195" s="96">
        <f t="shared" si="19"/>
        <v>2500</v>
      </c>
      <c r="E195" s="113">
        <v>2500</v>
      </c>
      <c r="F195" s="96"/>
      <c r="G195" s="96">
        <f t="shared" si="18"/>
        <v>-2500</v>
      </c>
      <c r="H195" s="113">
        <v>2500</v>
      </c>
      <c r="I195" s="116"/>
    </row>
    <row r="196" s="74" customFormat="1" spans="1:9">
      <c r="A196" s="94">
        <v>39</v>
      </c>
      <c r="B196" s="112" t="s">
        <v>537</v>
      </c>
      <c r="C196" s="96">
        <v>0</v>
      </c>
      <c r="D196" s="96">
        <f t="shared" si="19"/>
        <v>3071</v>
      </c>
      <c r="E196" s="113">
        <v>3071</v>
      </c>
      <c r="F196" s="96"/>
      <c r="G196" s="96">
        <f t="shared" si="18"/>
        <v>-3071</v>
      </c>
      <c r="H196" s="113">
        <v>3071</v>
      </c>
      <c r="I196" s="116"/>
    </row>
    <row r="197" s="74" customFormat="1" spans="1:9">
      <c r="A197" s="94">
        <v>40</v>
      </c>
      <c r="B197" s="112" t="s">
        <v>538</v>
      </c>
      <c r="C197" s="96">
        <v>0</v>
      </c>
      <c r="D197" s="96">
        <f t="shared" si="19"/>
        <v>2016</v>
      </c>
      <c r="E197" s="113">
        <v>2016</v>
      </c>
      <c r="F197" s="96"/>
      <c r="G197" s="96">
        <f t="shared" si="18"/>
        <v>-2016</v>
      </c>
      <c r="H197" s="113">
        <v>2016</v>
      </c>
      <c r="I197" s="116"/>
    </row>
    <row r="198" s="74" customFormat="1" spans="1:9">
      <c r="A198" s="94">
        <v>41</v>
      </c>
      <c r="B198" s="112" t="s">
        <v>539</v>
      </c>
      <c r="C198" s="96">
        <v>0</v>
      </c>
      <c r="D198" s="96">
        <f t="shared" si="19"/>
        <v>1913</v>
      </c>
      <c r="E198" s="113">
        <v>1913</v>
      </c>
      <c r="F198" s="96"/>
      <c r="G198" s="96">
        <f t="shared" si="18"/>
        <v>-1913</v>
      </c>
      <c r="H198" s="113">
        <v>1913</v>
      </c>
      <c r="I198" s="116"/>
    </row>
    <row r="199" s="74" customFormat="1" spans="1:9">
      <c r="A199" s="94">
        <v>42</v>
      </c>
      <c r="B199" s="112" t="s">
        <v>540</v>
      </c>
      <c r="C199" s="96">
        <v>0</v>
      </c>
      <c r="D199" s="96">
        <f t="shared" si="19"/>
        <v>1000</v>
      </c>
      <c r="E199" s="113">
        <v>1000</v>
      </c>
      <c r="F199" s="96"/>
      <c r="G199" s="96">
        <f t="shared" si="18"/>
        <v>-1000</v>
      </c>
      <c r="H199" s="113">
        <v>1000</v>
      </c>
      <c r="I199" s="116"/>
    </row>
    <row r="200" s="74" customFormat="1" spans="1:9">
      <c r="A200" s="94">
        <v>43</v>
      </c>
      <c r="B200" s="112" t="s">
        <v>469</v>
      </c>
      <c r="C200" s="113"/>
      <c r="D200" s="96">
        <f t="shared" si="19"/>
        <v>30000</v>
      </c>
      <c r="E200" s="113">
        <v>30000</v>
      </c>
      <c r="F200" s="96"/>
      <c r="G200" s="96">
        <f t="shared" si="18"/>
        <v>-30000</v>
      </c>
      <c r="H200" s="113">
        <v>30000</v>
      </c>
      <c r="I200" s="116"/>
    </row>
    <row r="201" spans="1:9">
      <c r="A201" s="117"/>
      <c r="B201" s="93" t="s">
        <v>285</v>
      </c>
      <c r="C201" s="91">
        <f t="shared" ref="C201:H201" si="20">SUM(C202:C230)</f>
        <v>0</v>
      </c>
      <c r="D201" s="91">
        <f t="shared" si="20"/>
        <v>168612</v>
      </c>
      <c r="E201" s="91">
        <f t="shared" si="20"/>
        <v>168612</v>
      </c>
      <c r="F201" s="91">
        <f t="shared" si="20"/>
        <v>0</v>
      </c>
      <c r="G201" s="91">
        <f t="shared" si="20"/>
        <v>-168612</v>
      </c>
      <c r="H201" s="91">
        <f t="shared" si="20"/>
        <v>168612</v>
      </c>
      <c r="I201" s="112"/>
    </row>
    <row r="202" spans="1:10">
      <c r="A202" s="118">
        <v>1</v>
      </c>
      <c r="B202" s="118" t="s">
        <v>541</v>
      </c>
      <c r="C202" s="119">
        <v>0</v>
      </c>
      <c r="D202" s="119">
        <v>624</v>
      </c>
      <c r="E202" s="119">
        <v>624</v>
      </c>
      <c r="F202" s="119"/>
      <c r="G202" s="119">
        <v>-624</v>
      </c>
      <c r="H202" s="119">
        <v>624</v>
      </c>
      <c r="I202" s="121"/>
      <c r="J202" s="71">
        <v>212</v>
      </c>
    </row>
    <row r="203" spans="1:10">
      <c r="A203" s="118">
        <v>2</v>
      </c>
      <c r="B203" s="118" t="s">
        <v>542</v>
      </c>
      <c r="C203" s="119">
        <v>0</v>
      </c>
      <c r="D203" s="119">
        <v>73</v>
      </c>
      <c r="E203" s="119">
        <v>73</v>
      </c>
      <c r="F203" s="119"/>
      <c r="G203" s="119">
        <v>-73</v>
      </c>
      <c r="H203" s="119">
        <v>73</v>
      </c>
      <c r="I203" s="121"/>
      <c r="J203" s="71">
        <v>212</v>
      </c>
    </row>
    <row r="204" spans="1:10">
      <c r="A204" s="118">
        <v>3</v>
      </c>
      <c r="B204" s="118" t="s">
        <v>543</v>
      </c>
      <c r="C204" s="119">
        <v>0</v>
      </c>
      <c r="D204" s="119">
        <v>318</v>
      </c>
      <c r="E204" s="119">
        <v>318</v>
      </c>
      <c r="F204" s="119"/>
      <c r="G204" s="119">
        <v>-318</v>
      </c>
      <c r="H204" s="119">
        <v>318</v>
      </c>
      <c r="I204" s="121"/>
      <c r="J204" s="71">
        <v>212</v>
      </c>
    </row>
    <row r="205" spans="1:10">
      <c r="A205" s="118">
        <v>4</v>
      </c>
      <c r="B205" s="118" t="s">
        <v>544</v>
      </c>
      <c r="C205" s="119">
        <v>0</v>
      </c>
      <c r="D205" s="119">
        <v>78</v>
      </c>
      <c r="E205" s="119">
        <v>78</v>
      </c>
      <c r="F205" s="119"/>
      <c r="G205" s="119">
        <v>-78</v>
      </c>
      <c r="H205" s="119">
        <v>78</v>
      </c>
      <c r="I205" s="121"/>
      <c r="J205" s="71">
        <v>212</v>
      </c>
    </row>
    <row r="206" spans="1:10">
      <c r="A206" s="118">
        <v>5</v>
      </c>
      <c r="B206" s="118" t="s">
        <v>545</v>
      </c>
      <c r="C206" s="119">
        <v>0</v>
      </c>
      <c r="D206" s="119">
        <v>15</v>
      </c>
      <c r="E206" s="119">
        <v>15</v>
      </c>
      <c r="F206" s="119"/>
      <c r="G206" s="119">
        <v>-15</v>
      </c>
      <c r="H206" s="119">
        <v>15</v>
      </c>
      <c r="I206" s="121"/>
      <c r="J206" s="71">
        <v>212</v>
      </c>
    </row>
    <row r="207" spans="1:10">
      <c r="A207" s="118">
        <v>6</v>
      </c>
      <c r="B207" s="118" t="s">
        <v>546</v>
      </c>
      <c r="C207" s="119">
        <v>0</v>
      </c>
      <c r="D207" s="119">
        <v>25</v>
      </c>
      <c r="E207" s="119">
        <v>25</v>
      </c>
      <c r="F207" s="119"/>
      <c r="G207" s="119">
        <v>-25</v>
      </c>
      <c r="H207" s="119">
        <v>25</v>
      </c>
      <c r="I207" s="121"/>
      <c r="J207" s="71">
        <v>212</v>
      </c>
    </row>
    <row r="208" spans="1:10">
      <c r="A208" s="118">
        <v>7</v>
      </c>
      <c r="B208" s="118" t="s">
        <v>547</v>
      </c>
      <c r="C208" s="119">
        <v>0</v>
      </c>
      <c r="D208" s="119">
        <v>1413</v>
      </c>
      <c r="E208" s="119">
        <v>1413</v>
      </c>
      <c r="F208" s="119"/>
      <c r="G208" s="119">
        <v>-1413</v>
      </c>
      <c r="H208" s="119">
        <v>1413</v>
      </c>
      <c r="I208" s="121"/>
      <c r="J208" s="71">
        <v>212</v>
      </c>
    </row>
    <row r="209" spans="1:10">
      <c r="A209" s="118">
        <v>8</v>
      </c>
      <c r="B209" s="118" t="s">
        <v>548</v>
      </c>
      <c r="C209" s="119">
        <v>0</v>
      </c>
      <c r="D209" s="119">
        <v>668</v>
      </c>
      <c r="E209" s="119">
        <v>668</v>
      </c>
      <c r="F209" s="119"/>
      <c r="G209" s="119">
        <v>-668</v>
      </c>
      <c r="H209" s="119">
        <v>668</v>
      </c>
      <c r="I209" s="121"/>
      <c r="J209" s="71">
        <v>212</v>
      </c>
    </row>
    <row r="210" spans="1:10">
      <c r="A210" s="118">
        <v>9</v>
      </c>
      <c r="B210" s="118" t="s">
        <v>549</v>
      </c>
      <c r="C210" s="119">
        <v>0</v>
      </c>
      <c r="D210" s="119">
        <v>540</v>
      </c>
      <c r="E210" s="119">
        <v>540</v>
      </c>
      <c r="F210" s="119"/>
      <c r="G210" s="119">
        <v>-540</v>
      </c>
      <c r="H210" s="119">
        <v>540</v>
      </c>
      <c r="I210" s="121"/>
      <c r="J210" s="71">
        <v>212</v>
      </c>
    </row>
    <row r="211" spans="1:10">
      <c r="A211" s="118">
        <v>10</v>
      </c>
      <c r="B211" s="118" t="s">
        <v>550</v>
      </c>
      <c r="C211" s="119">
        <v>0</v>
      </c>
      <c r="D211" s="119">
        <v>588</v>
      </c>
      <c r="E211" s="119">
        <v>588</v>
      </c>
      <c r="F211" s="119"/>
      <c r="G211" s="119">
        <v>-588</v>
      </c>
      <c r="H211" s="119">
        <v>588</v>
      </c>
      <c r="I211" s="121"/>
      <c r="J211" s="71">
        <v>212</v>
      </c>
    </row>
    <row r="212" spans="1:10">
      <c r="A212" s="118">
        <v>11</v>
      </c>
      <c r="B212" s="118" t="s">
        <v>551</v>
      </c>
      <c r="C212" s="119">
        <v>0</v>
      </c>
      <c r="D212" s="119">
        <v>1595</v>
      </c>
      <c r="E212" s="119">
        <v>1595</v>
      </c>
      <c r="F212" s="119"/>
      <c r="G212" s="119">
        <v>-1595</v>
      </c>
      <c r="H212" s="119">
        <v>1595</v>
      </c>
      <c r="I212" s="121"/>
      <c r="J212" s="71">
        <v>212</v>
      </c>
    </row>
    <row r="213" spans="1:10">
      <c r="A213" s="118">
        <v>12</v>
      </c>
      <c r="B213" s="118" t="s">
        <v>552</v>
      </c>
      <c r="C213" s="119">
        <v>0</v>
      </c>
      <c r="D213" s="119">
        <v>2343</v>
      </c>
      <c r="E213" s="119">
        <v>2343</v>
      </c>
      <c r="F213" s="119"/>
      <c r="G213" s="119">
        <v>-2343</v>
      </c>
      <c r="H213" s="119">
        <v>2343</v>
      </c>
      <c r="I213" s="121"/>
      <c r="J213" s="71">
        <v>212</v>
      </c>
    </row>
    <row r="214" spans="1:10">
      <c r="A214" s="118">
        <v>13</v>
      </c>
      <c r="B214" s="118" t="s">
        <v>553</v>
      </c>
      <c r="C214" s="119">
        <v>0</v>
      </c>
      <c r="D214" s="119">
        <v>958</v>
      </c>
      <c r="E214" s="119">
        <v>958</v>
      </c>
      <c r="F214" s="119"/>
      <c r="G214" s="119">
        <v>-958</v>
      </c>
      <c r="H214" s="119">
        <v>958</v>
      </c>
      <c r="I214" s="121"/>
      <c r="J214" s="71">
        <v>212</v>
      </c>
    </row>
    <row r="215" spans="1:10">
      <c r="A215" s="118">
        <v>14</v>
      </c>
      <c r="B215" s="118" t="s">
        <v>554</v>
      </c>
      <c r="C215" s="119">
        <v>0</v>
      </c>
      <c r="D215" s="119">
        <v>663</v>
      </c>
      <c r="E215" s="119">
        <v>663</v>
      </c>
      <c r="F215" s="119"/>
      <c r="G215" s="119">
        <v>-663</v>
      </c>
      <c r="H215" s="119">
        <v>663</v>
      </c>
      <c r="I215" s="118"/>
      <c r="J215" s="71">
        <v>212</v>
      </c>
    </row>
    <row r="216" spans="1:10">
      <c r="A216" s="118">
        <v>15</v>
      </c>
      <c r="B216" s="118" t="s">
        <v>555</v>
      </c>
      <c r="C216" s="119">
        <v>0</v>
      </c>
      <c r="D216" s="119">
        <v>11150</v>
      </c>
      <c r="E216" s="119">
        <v>11150</v>
      </c>
      <c r="F216" s="119"/>
      <c r="G216" s="119">
        <v>-11150</v>
      </c>
      <c r="H216" s="119">
        <v>11150</v>
      </c>
      <c r="I216" s="118"/>
      <c r="J216" s="71">
        <v>229</v>
      </c>
    </row>
    <row r="217" spans="1:10">
      <c r="A217" s="118">
        <v>16</v>
      </c>
      <c r="B217" s="118" t="s">
        <v>556</v>
      </c>
      <c r="C217" s="119">
        <v>0</v>
      </c>
      <c r="D217" s="119">
        <v>3900</v>
      </c>
      <c r="E217" s="119">
        <v>3900</v>
      </c>
      <c r="F217" s="119"/>
      <c r="G217" s="119">
        <v>-3900</v>
      </c>
      <c r="H217" s="119">
        <v>3900</v>
      </c>
      <c r="I217" s="118"/>
      <c r="J217" s="71">
        <v>229</v>
      </c>
    </row>
    <row r="218" spans="1:10">
      <c r="A218" s="118">
        <v>17</v>
      </c>
      <c r="B218" s="118" t="s">
        <v>557</v>
      </c>
      <c r="C218" s="119">
        <v>0</v>
      </c>
      <c r="D218" s="119">
        <v>450</v>
      </c>
      <c r="E218" s="119">
        <v>450</v>
      </c>
      <c r="F218" s="119"/>
      <c r="G218" s="119">
        <v>-450</v>
      </c>
      <c r="H218" s="119">
        <v>450</v>
      </c>
      <c r="I218" s="118"/>
      <c r="J218" s="71">
        <v>229</v>
      </c>
    </row>
    <row r="219" spans="1:10">
      <c r="A219" s="118">
        <v>18</v>
      </c>
      <c r="B219" s="118" t="s">
        <v>558</v>
      </c>
      <c r="C219" s="119">
        <v>0</v>
      </c>
      <c r="D219" s="119">
        <v>10000</v>
      </c>
      <c r="E219" s="119">
        <v>10000</v>
      </c>
      <c r="F219" s="119"/>
      <c r="G219" s="119">
        <v>-10000</v>
      </c>
      <c r="H219" s="119">
        <v>10000</v>
      </c>
      <c r="I219" s="118"/>
      <c r="J219" s="71">
        <v>229</v>
      </c>
    </row>
    <row r="220" spans="1:10">
      <c r="A220" s="118">
        <v>19</v>
      </c>
      <c r="B220" s="118" t="s">
        <v>559</v>
      </c>
      <c r="C220" s="119">
        <v>0</v>
      </c>
      <c r="D220" s="119">
        <v>5200</v>
      </c>
      <c r="E220" s="119">
        <v>5200</v>
      </c>
      <c r="F220" s="119"/>
      <c r="G220" s="119">
        <v>-5200</v>
      </c>
      <c r="H220" s="119">
        <v>5200</v>
      </c>
      <c r="I220" s="118"/>
      <c r="J220" s="71">
        <v>229</v>
      </c>
    </row>
    <row r="221" spans="1:10">
      <c r="A221" s="118">
        <v>20</v>
      </c>
      <c r="B221" s="118" t="s">
        <v>560</v>
      </c>
      <c r="C221" s="119">
        <v>0</v>
      </c>
      <c r="D221" s="119">
        <v>40793</v>
      </c>
      <c r="E221" s="119">
        <v>40793</v>
      </c>
      <c r="F221" s="119"/>
      <c r="G221" s="119">
        <v>-40793</v>
      </c>
      <c r="H221" s="119">
        <v>40793</v>
      </c>
      <c r="I221" s="118"/>
      <c r="J221" s="71">
        <v>229</v>
      </c>
    </row>
    <row r="222" spans="1:10">
      <c r="A222" s="118">
        <v>21</v>
      </c>
      <c r="B222" s="118" t="s">
        <v>561</v>
      </c>
      <c r="C222" s="119">
        <v>0</v>
      </c>
      <c r="D222" s="119">
        <v>3600</v>
      </c>
      <c r="E222" s="119">
        <v>3600</v>
      </c>
      <c r="F222" s="119"/>
      <c r="G222" s="119">
        <v>-3600</v>
      </c>
      <c r="H222" s="119">
        <v>3600</v>
      </c>
      <c r="I222" s="118"/>
      <c r="J222" s="71">
        <v>229</v>
      </c>
    </row>
    <row r="223" spans="1:10">
      <c r="A223" s="118">
        <v>22</v>
      </c>
      <c r="B223" s="118" t="s">
        <v>562</v>
      </c>
      <c r="C223" s="119">
        <v>0</v>
      </c>
      <c r="D223" s="119">
        <v>34128</v>
      </c>
      <c r="E223" s="119">
        <v>34128</v>
      </c>
      <c r="F223" s="119"/>
      <c r="G223" s="119">
        <v>-34128</v>
      </c>
      <c r="H223" s="119">
        <v>34128</v>
      </c>
      <c r="I223" s="118"/>
      <c r="J223" s="71">
        <v>229</v>
      </c>
    </row>
    <row r="224" spans="1:10">
      <c r="A224" s="118">
        <v>23</v>
      </c>
      <c r="B224" s="118" t="s">
        <v>563</v>
      </c>
      <c r="C224" s="119">
        <v>0</v>
      </c>
      <c r="D224" s="119">
        <v>10000</v>
      </c>
      <c r="E224" s="119">
        <v>10000</v>
      </c>
      <c r="F224" s="119"/>
      <c r="G224" s="119">
        <v>-10000</v>
      </c>
      <c r="H224" s="119">
        <v>10000</v>
      </c>
      <c r="I224" s="118"/>
      <c r="J224" s="71">
        <v>229</v>
      </c>
    </row>
    <row r="225" spans="1:10">
      <c r="A225" s="118">
        <v>24</v>
      </c>
      <c r="B225" s="118" t="s">
        <v>564</v>
      </c>
      <c r="C225" s="119">
        <v>0</v>
      </c>
      <c r="D225" s="119">
        <v>13000</v>
      </c>
      <c r="E225" s="119">
        <v>13000</v>
      </c>
      <c r="F225" s="119"/>
      <c r="G225" s="119">
        <v>-13000</v>
      </c>
      <c r="H225" s="119">
        <v>13000</v>
      </c>
      <c r="I225" s="118"/>
      <c r="J225" s="71">
        <v>229</v>
      </c>
    </row>
    <row r="226" spans="1:10">
      <c r="A226" s="118">
        <v>25</v>
      </c>
      <c r="B226" s="118" t="s">
        <v>565</v>
      </c>
      <c r="C226" s="119">
        <v>0</v>
      </c>
      <c r="D226" s="119">
        <v>3000</v>
      </c>
      <c r="E226" s="119">
        <v>3000</v>
      </c>
      <c r="F226" s="119"/>
      <c r="G226" s="119">
        <v>-3000</v>
      </c>
      <c r="H226" s="119">
        <v>3000</v>
      </c>
      <c r="I226" s="118"/>
      <c r="J226" s="71">
        <v>229</v>
      </c>
    </row>
    <row r="227" spans="1:10">
      <c r="A227" s="118">
        <v>26</v>
      </c>
      <c r="B227" s="118" t="s">
        <v>566</v>
      </c>
      <c r="C227" s="119">
        <v>0</v>
      </c>
      <c r="D227" s="119">
        <v>1000</v>
      </c>
      <c r="E227" s="119">
        <v>1000</v>
      </c>
      <c r="F227" s="119"/>
      <c r="G227" s="119">
        <v>-1000</v>
      </c>
      <c r="H227" s="119">
        <v>1000</v>
      </c>
      <c r="I227" s="118"/>
      <c r="J227" s="71">
        <v>229</v>
      </c>
    </row>
    <row r="228" spans="1:10">
      <c r="A228" s="118">
        <v>27</v>
      </c>
      <c r="B228" s="118" t="s">
        <v>567</v>
      </c>
      <c r="C228" s="119">
        <v>0</v>
      </c>
      <c r="D228" s="119">
        <v>10000</v>
      </c>
      <c r="E228" s="119">
        <v>10000</v>
      </c>
      <c r="F228" s="119"/>
      <c r="G228" s="119">
        <v>-10000</v>
      </c>
      <c r="H228" s="119">
        <v>10000</v>
      </c>
      <c r="I228" s="118"/>
      <c r="J228" s="71">
        <v>229</v>
      </c>
    </row>
    <row r="229" spans="1:10">
      <c r="A229" s="118">
        <v>28</v>
      </c>
      <c r="B229" s="118" t="s">
        <v>568</v>
      </c>
      <c r="C229" s="119">
        <v>0</v>
      </c>
      <c r="D229" s="119">
        <v>3000</v>
      </c>
      <c r="E229" s="119">
        <v>3000</v>
      </c>
      <c r="F229" s="119"/>
      <c r="G229" s="119">
        <v>-3000</v>
      </c>
      <c r="H229" s="119">
        <v>3000</v>
      </c>
      <c r="I229" s="118"/>
      <c r="J229" s="71">
        <v>229</v>
      </c>
    </row>
    <row r="230" spans="1:10">
      <c r="A230" s="118">
        <v>29</v>
      </c>
      <c r="B230" s="118" t="s">
        <v>569</v>
      </c>
      <c r="C230" s="119">
        <v>0</v>
      </c>
      <c r="D230" s="119">
        <v>9490</v>
      </c>
      <c r="E230" s="119">
        <v>9490</v>
      </c>
      <c r="F230" s="119"/>
      <c r="G230" s="119">
        <v>-9490</v>
      </c>
      <c r="H230" s="119">
        <v>9490</v>
      </c>
      <c r="I230" s="118"/>
      <c r="J230" s="71">
        <v>229</v>
      </c>
    </row>
    <row r="231" spans="2:8">
      <c r="B231" s="6"/>
      <c r="C231" s="120"/>
      <c r="D231" s="120"/>
      <c r="E231" s="120"/>
      <c r="F231" s="120"/>
      <c r="G231" s="120"/>
      <c r="H231" s="120"/>
    </row>
    <row r="232" spans="2:8">
      <c r="B232" s="6"/>
      <c r="C232" s="120"/>
      <c r="D232" s="120"/>
      <c r="E232" s="120"/>
      <c r="F232" s="120"/>
      <c r="G232" s="120"/>
      <c r="H232" s="120"/>
    </row>
    <row r="233" spans="2:8">
      <c r="B233" s="6"/>
      <c r="C233" s="120"/>
      <c r="D233" s="120"/>
      <c r="E233" s="120"/>
      <c r="F233" s="120"/>
      <c r="G233" s="120"/>
      <c r="H233" s="120"/>
    </row>
    <row r="234" spans="2:8">
      <c r="B234" s="6"/>
      <c r="C234" s="120"/>
      <c r="D234" s="120"/>
      <c r="E234" s="120"/>
      <c r="F234" s="120"/>
      <c r="G234" s="120"/>
      <c r="H234" s="120"/>
    </row>
    <row r="235" spans="2:8">
      <c r="B235" s="6"/>
      <c r="C235" s="120"/>
      <c r="D235" s="120"/>
      <c r="E235" s="120"/>
      <c r="F235" s="120"/>
      <c r="G235" s="120"/>
      <c r="H235" s="120"/>
    </row>
    <row r="236" spans="2:8">
      <c r="B236" s="6"/>
      <c r="C236" s="120"/>
      <c r="D236" s="120"/>
      <c r="E236" s="120"/>
      <c r="F236" s="120"/>
      <c r="G236" s="120"/>
      <c r="H236" s="120"/>
    </row>
    <row r="237" spans="2:8">
      <c r="B237" s="6"/>
      <c r="C237" s="120"/>
      <c r="D237" s="120"/>
      <c r="E237" s="120"/>
      <c r="F237" s="120"/>
      <c r="G237" s="120"/>
      <c r="H237" s="120"/>
    </row>
    <row r="238" spans="2:8">
      <c r="B238" s="6"/>
      <c r="C238" s="120"/>
      <c r="D238" s="120"/>
      <c r="E238" s="120"/>
      <c r="F238" s="120"/>
      <c r="G238" s="120"/>
      <c r="H238" s="120"/>
    </row>
    <row r="239" spans="2:8">
      <c r="B239" s="6"/>
      <c r="C239" s="120"/>
      <c r="D239" s="120"/>
      <c r="E239" s="120"/>
      <c r="F239" s="120"/>
      <c r="G239" s="120"/>
      <c r="H239" s="120"/>
    </row>
    <row r="240" spans="2:8">
      <c r="B240" s="6"/>
      <c r="C240" s="120"/>
      <c r="D240" s="120"/>
      <c r="E240" s="120"/>
      <c r="F240" s="120"/>
      <c r="G240" s="120"/>
      <c r="H240" s="120"/>
    </row>
    <row r="241" spans="2:8">
      <c r="B241" s="6"/>
      <c r="C241" s="120"/>
      <c r="D241" s="120"/>
      <c r="E241" s="120"/>
      <c r="F241" s="120"/>
      <c r="G241" s="120"/>
      <c r="H241" s="120"/>
    </row>
    <row r="242" spans="2:8">
      <c r="B242" s="6"/>
      <c r="C242" s="120"/>
      <c r="D242" s="120"/>
      <c r="E242" s="120"/>
      <c r="F242" s="120"/>
      <c r="G242" s="120"/>
      <c r="H242" s="120"/>
    </row>
    <row r="243" spans="2:8">
      <c r="B243" s="6"/>
      <c r="C243" s="120"/>
      <c r="D243" s="120"/>
      <c r="E243" s="120"/>
      <c r="F243" s="120"/>
      <c r="G243" s="120"/>
      <c r="H243" s="120"/>
    </row>
    <row r="244" spans="2:8">
      <c r="B244" s="6"/>
      <c r="C244" s="120"/>
      <c r="D244" s="120"/>
      <c r="E244" s="120"/>
      <c r="F244" s="120"/>
      <c r="G244" s="120"/>
      <c r="H244" s="120"/>
    </row>
    <row r="245" spans="2:8">
      <c r="B245" s="6"/>
      <c r="C245" s="120"/>
      <c r="D245" s="120"/>
      <c r="E245" s="120"/>
      <c r="F245" s="120"/>
      <c r="G245" s="120"/>
      <c r="H245" s="120"/>
    </row>
    <row r="246" spans="2:8">
      <c r="B246" s="6"/>
      <c r="C246" s="120"/>
      <c r="D246" s="120"/>
      <c r="E246" s="120"/>
      <c r="F246" s="120"/>
      <c r="G246" s="120"/>
      <c r="H246" s="120"/>
    </row>
    <row r="247" spans="2:8">
      <c r="B247" s="6"/>
      <c r="C247" s="120"/>
      <c r="D247" s="120"/>
      <c r="E247" s="120"/>
      <c r="F247" s="120"/>
      <c r="G247" s="120"/>
      <c r="H247" s="120"/>
    </row>
    <row r="248" spans="2:8">
      <c r="B248" s="6"/>
      <c r="C248" s="120"/>
      <c r="D248" s="120"/>
      <c r="E248" s="120"/>
      <c r="F248" s="120"/>
      <c r="G248" s="120"/>
      <c r="H248" s="120"/>
    </row>
    <row r="249" spans="2:8">
      <c r="B249" s="6"/>
      <c r="C249" s="120"/>
      <c r="D249" s="120"/>
      <c r="E249" s="120"/>
      <c r="F249" s="120"/>
      <c r="G249" s="120"/>
      <c r="H249" s="120"/>
    </row>
    <row r="250" spans="2:8">
      <c r="B250" s="6"/>
      <c r="C250" s="120"/>
      <c r="D250" s="120"/>
      <c r="E250" s="120"/>
      <c r="F250" s="120"/>
      <c r="G250" s="120"/>
      <c r="H250" s="120"/>
    </row>
    <row r="251" spans="2:8">
      <c r="B251" s="6"/>
      <c r="C251" s="120"/>
      <c r="D251" s="120"/>
      <c r="E251" s="120"/>
      <c r="F251" s="120"/>
      <c r="G251" s="120"/>
      <c r="H251" s="120"/>
    </row>
    <row r="252" spans="2:8">
      <c r="B252" s="6"/>
      <c r="C252" s="120"/>
      <c r="D252" s="120"/>
      <c r="E252" s="120"/>
      <c r="F252" s="120"/>
      <c r="G252" s="120"/>
      <c r="H252" s="120"/>
    </row>
    <row r="253" spans="2:8">
      <c r="B253" s="6"/>
      <c r="C253" s="120"/>
      <c r="D253" s="120"/>
      <c r="E253" s="120"/>
      <c r="F253" s="120"/>
      <c r="G253" s="120"/>
      <c r="H253" s="120"/>
    </row>
    <row r="254" spans="2:8">
      <c r="B254" s="6"/>
      <c r="C254" s="120"/>
      <c r="D254" s="120"/>
      <c r="E254" s="120"/>
      <c r="F254" s="120"/>
      <c r="G254" s="120"/>
      <c r="H254" s="120"/>
    </row>
    <row r="255" spans="2:8">
      <c r="B255" s="6"/>
      <c r="C255" s="120"/>
      <c r="D255" s="120"/>
      <c r="E255" s="120"/>
      <c r="F255" s="120"/>
      <c r="G255" s="120"/>
      <c r="H255" s="120"/>
    </row>
    <row r="256" spans="2:8">
      <c r="B256" s="6"/>
      <c r="C256" s="120"/>
      <c r="D256" s="120"/>
      <c r="E256" s="120"/>
      <c r="F256" s="120"/>
      <c r="G256" s="120"/>
      <c r="H256" s="120"/>
    </row>
    <row r="257" spans="2:8">
      <c r="B257" s="6"/>
      <c r="C257" s="120"/>
      <c r="D257" s="120"/>
      <c r="E257" s="120"/>
      <c r="F257" s="120"/>
      <c r="G257" s="120"/>
      <c r="H257" s="120"/>
    </row>
    <row r="258" spans="2:8">
      <c r="B258" s="6"/>
      <c r="C258" s="120"/>
      <c r="D258" s="120"/>
      <c r="E258" s="120"/>
      <c r="F258" s="120"/>
      <c r="G258" s="120"/>
      <c r="H258" s="120"/>
    </row>
    <row r="259" spans="2:8">
      <c r="B259" s="6"/>
      <c r="C259" s="120"/>
      <c r="D259" s="120"/>
      <c r="E259" s="120"/>
      <c r="F259" s="120"/>
      <c r="G259" s="120"/>
      <c r="H259" s="120"/>
    </row>
    <row r="260" spans="2:8">
      <c r="B260" s="6"/>
      <c r="C260" s="120"/>
      <c r="D260" s="120"/>
      <c r="E260" s="120"/>
      <c r="F260" s="120"/>
      <c r="G260" s="120"/>
      <c r="H260" s="120"/>
    </row>
    <row r="261" spans="2:8">
      <c r="B261" s="6"/>
      <c r="C261" s="120"/>
      <c r="D261" s="120"/>
      <c r="E261" s="120"/>
      <c r="F261" s="120"/>
      <c r="G261" s="120"/>
      <c r="H261" s="120"/>
    </row>
    <row r="262" spans="2:8">
      <c r="B262" s="6"/>
      <c r="C262" s="120"/>
      <c r="D262" s="120"/>
      <c r="E262" s="120"/>
      <c r="F262" s="120"/>
      <c r="G262" s="120"/>
      <c r="H262" s="120"/>
    </row>
    <row r="263" spans="2:8">
      <c r="B263" s="6"/>
      <c r="C263" s="120"/>
      <c r="D263" s="120"/>
      <c r="E263" s="120"/>
      <c r="F263" s="120"/>
      <c r="G263" s="120"/>
      <c r="H263" s="120"/>
    </row>
    <row r="264" spans="2:8">
      <c r="B264" s="6"/>
      <c r="C264" s="120"/>
      <c r="D264" s="120"/>
      <c r="E264" s="120"/>
      <c r="F264" s="120"/>
      <c r="G264" s="120"/>
      <c r="H264" s="120"/>
    </row>
    <row r="265" spans="2:8">
      <c r="B265" s="6"/>
      <c r="C265" s="120"/>
      <c r="D265" s="120"/>
      <c r="E265" s="120"/>
      <c r="F265" s="120"/>
      <c r="G265" s="120"/>
      <c r="H265" s="120"/>
    </row>
  </sheetData>
  <mergeCells count="12">
    <mergeCell ref="A1:I1"/>
    <mergeCell ref="C2:G2"/>
    <mergeCell ref="D3:F3"/>
    <mergeCell ref="A3:A5"/>
    <mergeCell ref="B3:B5"/>
    <mergeCell ref="C3:C5"/>
    <mergeCell ref="D4:D5"/>
    <mergeCell ref="E4:E5"/>
    <mergeCell ref="F4:F5"/>
    <mergeCell ref="G3:G5"/>
    <mergeCell ref="H3:H5"/>
    <mergeCell ref="I3:I5"/>
  </mergeCells>
  <pageMargins left="0.700694444444445" right="0.700694444444445" top="0.751388888888889" bottom="0.751388888888889" header="0.298611111111111" footer="0.298611111111111"/>
  <pageSetup paperSize="9" scale="66" firstPageNumber="22" fitToHeight="0" orientation="landscape"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AH17"/>
  <sheetViews>
    <sheetView view="pageBreakPreview" zoomScaleNormal="100" workbookViewId="0">
      <pane xSplit="2" ySplit="4" topLeftCell="C5" activePane="bottomRight" state="frozen"/>
      <selection/>
      <selection pane="topRight"/>
      <selection pane="bottomLeft"/>
      <selection pane="bottomRight" activeCell="K13" sqref="K13"/>
    </sheetView>
  </sheetViews>
  <sheetFormatPr defaultColWidth="9" defaultRowHeight="13.5"/>
  <cols>
    <col min="1" max="1" width="7.5" style="35" customWidth="1"/>
    <col min="2" max="2" width="15.875" style="35" customWidth="1"/>
    <col min="3" max="3" width="7.875" style="35" customWidth="1"/>
    <col min="4" max="4" width="9.25" style="35" customWidth="1"/>
    <col min="5" max="5" width="9" style="35" customWidth="1"/>
    <col min="6" max="9" width="7" style="35" customWidth="1"/>
    <col min="10" max="11" width="9.5" style="35" customWidth="1"/>
    <col min="12" max="13" width="8.625" style="35" customWidth="1"/>
    <col min="14" max="14" width="9.625" style="35" customWidth="1"/>
    <col min="15" max="15" width="7" style="35" customWidth="1"/>
    <col min="16" max="16" width="8.375" style="35" customWidth="1"/>
    <col min="17" max="17" width="8.25" style="35" customWidth="1"/>
    <col min="18" max="18" width="7.5" style="35" customWidth="1"/>
    <col min="19" max="24" width="7" style="35" customWidth="1"/>
    <col min="25" max="25" width="8.875" style="35" customWidth="1"/>
    <col min="26" max="29" width="10.625" style="35" customWidth="1"/>
    <col min="30" max="30" width="12" style="36" customWidth="1"/>
    <col min="31" max="31" width="9" style="37"/>
    <col min="32" max="33" width="9" style="38"/>
    <col min="34" max="16384" width="9" style="35"/>
  </cols>
  <sheetData>
    <row r="1" s="35" customFormat="1" ht="27" spans="1:33">
      <c r="A1" s="39" t="s">
        <v>570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35" customFormat="1" ht="18.75" spans="1:33">
      <c r="A2" s="35" t="s">
        <v>1</v>
      </c>
      <c r="B2" s="40"/>
      <c r="C2" s="41"/>
      <c r="D2" s="41"/>
      <c r="E2" s="42"/>
      <c r="F2" s="43"/>
      <c r="G2" s="44" t="s">
        <v>2</v>
      </c>
      <c r="H2" s="44"/>
      <c r="I2" s="44"/>
      <c r="J2" s="44"/>
      <c r="K2" s="44"/>
      <c r="L2" s="44"/>
      <c r="M2" s="44"/>
      <c r="N2" s="44"/>
      <c r="O2" s="44"/>
      <c r="P2" s="44"/>
      <c r="Q2" s="44"/>
      <c r="R2" s="44"/>
      <c r="S2" s="44"/>
      <c r="T2" s="44"/>
      <c r="U2" s="44"/>
      <c r="V2" s="44"/>
      <c r="W2" s="44"/>
      <c r="X2" s="42"/>
      <c r="Y2" s="42"/>
      <c r="Z2" s="42"/>
      <c r="AA2" s="42"/>
      <c r="AB2" s="42"/>
      <c r="AC2" s="42"/>
      <c r="AD2" s="57" t="s">
        <v>3</v>
      </c>
      <c r="AE2" s="58"/>
      <c r="AF2" s="59"/>
      <c r="AG2" s="59"/>
    </row>
    <row r="3" s="35" customFormat="1" ht="48" customHeight="1" spans="1:33">
      <c r="A3" s="45" t="s">
        <v>332</v>
      </c>
      <c r="B3" s="45" t="s">
        <v>333</v>
      </c>
      <c r="C3" s="45" t="s">
        <v>334</v>
      </c>
      <c r="D3" s="46" t="s">
        <v>335</v>
      </c>
      <c r="E3" s="46"/>
      <c r="F3" s="45" t="s">
        <v>336</v>
      </c>
      <c r="G3" s="46" t="s">
        <v>335</v>
      </c>
      <c r="H3" s="46"/>
      <c r="I3" s="45" t="s">
        <v>571</v>
      </c>
      <c r="J3" s="46" t="s">
        <v>335</v>
      </c>
      <c r="K3" s="46"/>
      <c r="L3" s="45" t="s">
        <v>338</v>
      </c>
      <c r="M3" s="46" t="s">
        <v>335</v>
      </c>
      <c r="N3" s="46"/>
      <c r="O3" s="55" t="s">
        <v>339</v>
      </c>
      <c r="P3" s="46" t="s">
        <v>335</v>
      </c>
      <c r="Q3" s="46"/>
      <c r="R3" s="55" t="s">
        <v>572</v>
      </c>
      <c r="S3" s="46" t="s">
        <v>335</v>
      </c>
      <c r="T3" s="46"/>
      <c r="U3" s="45" t="s">
        <v>341</v>
      </c>
      <c r="V3" s="46" t="s">
        <v>335</v>
      </c>
      <c r="W3" s="46"/>
      <c r="X3" s="45" t="s">
        <v>343</v>
      </c>
      <c r="Y3" s="46" t="s">
        <v>335</v>
      </c>
      <c r="Z3" s="46"/>
      <c r="AA3" s="45" t="s">
        <v>573</v>
      </c>
      <c r="AB3" s="46" t="s">
        <v>335</v>
      </c>
      <c r="AC3" s="46"/>
      <c r="AD3" s="45" t="s">
        <v>344</v>
      </c>
      <c r="AE3" s="60" t="s">
        <v>335</v>
      </c>
      <c r="AF3" s="60"/>
      <c r="AG3" s="64"/>
    </row>
    <row r="4" s="35" customFormat="1" ht="48" customHeight="1" spans="1:33">
      <c r="A4" s="45"/>
      <c r="B4" s="45"/>
      <c r="C4" s="45"/>
      <c r="D4" s="47" t="s">
        <v>10</v>
      </c>
      <c r="E4" s="47" t="s">
        <v>11</v>
      </c>
      <c r="F4" s="45"/>
      <c r="G4" s="47" t="s">
        <v>10</v>
      </c>
      <c r="H4" s="47" t="s">
        <v>11</v>
      </c>
      <c r="I4" s="45"/>
      <c r="J4" s="47" t="s">
        <v>10</v>
      </c>
      <c r="K4" s="47" t="s">
        <v>11</v>
      </c>
      <c r="L4" s="45"/>
      <c r="M4" s="47" t="s">
        <v>10</v>
      </c>
      <c r="N4" s="47" t="s">
        <v>11</v>
      </c>
      <c r="O4" s="56"/>
      <c r="P4" s="47" t="s">
        <v>10</v>
      </c>
      <c r="Q4" s="47" t="s">
        <v>11</v>
      </c>
      <c r="R4" s="56"/>
      <c r="S4" s="47" t="s">
        <v>10</v>
      </c>
      <c r="T4" s="47" t="s">
        <v>11</v>
      </c>
      <c r="U4" s="45"/>
      <c r="V4" s="47" t="s">
        <v>10</v>
      </c>
      <c r="W4" s="47" t="s">
        <v>11</v>
      </c>
      <c r="X4" s="45"/>
      <c r="Y4" s="47" t="s">
        <v>10</v>
      </c>
      <c r="Z4" s="47" t="s">
        <v>11</v>
      </c>
      <c r="AA4" s="45"/>
      <c r="AB4" s="47" t="s">
        <v>10</v>
      </c>
      <c r="AC4" s="47" t="s">
        <v>11</v>
      </c>
      <c r="AD4" s="45"/>
      <c r="AE4" s="61" t="s">
        <v>10</v>
      </c>
      <c r="AF4" s="62" t="s">
        <v>11</v>
      </c>
      <c r="AG4" s="65"/>
    </row>
    <row r="5" s="35" customFormat="1" ht="45" customHeight="1" spans="1:33">
      <c r="A5" s="48">
        <v>206</v>
      </c>
      <c r="B5" s="49" t="s">
        <v>349</v>
      </c>
      <c r="C5" s="50">
        <f t="shared" ref="C5:C17" si="0">D5+E5</f>
        <v>0</v>
      </c>
      <c r="D5" s="50">
        <v>0</v>
      </c>
      <c r="E5" s="50">
        <v>0</v>
      </c>
      <c r="F5" s="50">
        <v>0</v>
      </c>
      <c r="G5" s="50">
        <v>0</v>
      </c>
      <c r="H5" s="50">
        <v>0</v>
      </c>
      <c r="I5" s="50">
        <f t="shared" ref="I5:I16" si="1">J5+K5</f>
        <v>0</v>
      </c>
      <c r="J5" s="50">
        <v>0</v>
      </c>
      <c r="K5" s="50">
        <v>0</v>
      </c>
      <c r="L5" s="50">
        <f t="shared" ref="L5:L16" si="2">M5+N5</f>
        <v>0</v>
      </c>
      <c r="M5" s="50">
        <v>0</v>
      </c>
      <c r="N5" s="50">
        <v>0</v>
      </c>
      <c r="O5" s="50">
        <f t="shared" ref="O5:O16" si="3">P5+Q5</f>
        <v>0</v>
      </c>
      <c r="P5" s="50">
        <v>0</v>
      </c>
      <c r="Q5" s="50">
        <v>0</v>
      </c>
      <c r="R5" s="50">
        <f t="shared" ref="R5:R16" si="4">S5+T5</f>
        <v>0</v>
      </c>
      <c r="S5" s="50">
        <v>0</v>
      </c>
      <c r="T5" s="50">
        <v>0</v>
      </c>
      <c r="U5" s="50">
        <f t="shared" ref="U5:U16" si="5">V5+W5</f>
        <v>0</v>
      </c>
      <c r="V5" s="50">
        <v>0</v>
      </c>
      <c r="W5" s="50">
        <v>0</v>
      </c>
      <c r="X5" s="50">
        <f t="shared" ref="X5:X16" si="6">Y5+Z5</f>
        <v>0</v>
      </c>
      <c r="Y5" s="50">
        <v>0</v>
      </c>
      <c r="Z5" s="50">
        <v>0</v>
      </c>
      <c r="AA5" s="50">
        <f t="shared" ref="AA5:AA16" si="7">AB5+AC5</f>
        <v>0</v>
      </c>
      <c r="AB5" s="50">
        <v>0</v>
      </c>
      <c r="AC5" s="50">
        <v>0</v>
      </c>
      <c r="AD5" s="63">
        <f t="shared" ref="AD5:AD17" si="8">C5+F5+I5+L5+O5+R5+U5+X5-AA5</f>
        <v>0</v>
      </c>
      <c r="AE5" s="63">
        <f t="shared" ref="AE5:AE17" si="9">D5+G5+J5+M5+P5+S5+V5+Y5-AB5</f>
        <v>0</v>
      </c>
      <c r="AF5" s="63">
        <f t="shared" ref="AF5:AF17" si="10">E5+H5+K5+N5+Q5+T5+W5+Z5-AC5</f>
        <v>0</v>
      </c>
      <c r="AG5" s="66"/>
    </row>
    <row r="6" s="35" customFormat="1" ht="45" customHeight="1" spans="1:33">
      <c r="A6" s="48">
        <v>207</v>
      </c>
      <c r="B6" s="49" t="s">
        <v>350</v>
      </c>
      <c r="C6" s="50">
        <f t="shared" si="0"/>
        <v>0</v>
      </c>
      <c r="D6" s="50">
        <v>0</v>
      </c>
      <c r="E6" s="50">
        <v>0</v>
      </c>
      <c r="F6" s="50">
        <v>0</v>
      </c>
      <c r="G6" s="50">
        <v>0</v>
      </c>
      <c r="H6" s="50">
        <v>0</v>
      </c>
      <c r="I6" s="50">
        <f t="shared" si="1"/>
        <v>0</v>
      </c>
      <c r="J6" s="50">
        <v>0</v>
      </c>
      <c r="K6" s="50">
        <v>0</v>
      </c>
      <c r="L6" s="50">
        <f t="shared" si="2"/>
        <v>0</v>
      </c>
      <c r="M6" s="50">
        <v>0</v>
      </c>
      <c r="N6" s="50">
        <v>0</v>
      </c>
      <c r="O6" s="50">
        <f t="shared" si="3"/>
        <v>0</v>
      </c>
      <c r="P6" s="50">
        <v>0</v>
      </c>
      <c r="Q6" s="50">
        <v>0</v>
      </c>
      <c r="R6" s="50">
        <f t="shared" si="4"/>
        <v>0</v>
      </c>
      <c r="S6" s="50">
        <v>0</v>
      </c>
      <c r="T6" s="50">
        <v>0</v>
      </c>
      <c r="U6" s="50">
        <f t="shared" si="5"/>
        <v>0</v>
      </c>
      <c r="V6" s="50">
        <v>0</v>
      </c>
      <c r="W6" s="50">
        <v>0</v>
      </c>
      <c r="X6" s="50">
        <f t="shared" si="6"/>
        <v>0</v>
      </c>
      <c r="Y6" s="50">
        <v>0</v>
      </c>
      <c r="Z6" s="50">
        <v>0</v>
      </c>
      <c r="AA6" s="50">
        <f t="shared" si="7"/>
        <v>0</v>
      </c>
      <c r="AB6" s="50">
        <v>0</v>
      </c>
      <c r="AC6" s="50">
        <v>0</v>
      </c>
      <c r="AD6" s="63">
        <f t="shared" si="8"/>
        <v>0</v>
      </c>
      <c r="AE6" s="63">
        <f t="shared" si="9"/>
        <v>0</v>
      </c>
      <c r="AF6" s="63">
        <f t="shared" si="10"/>
        <v>0</v>
      </c>
      <c r="AG6" s="66"/>
    </row>
    <row r="7" s="35" customFormat="1" ht="45" customHeight="1" spans="1:33">
      <c r="A7" s="48">
        <v>208</v>
      </c>
      <c r="B7" s="49" t="s">
        <v>574</v>
      </c>
      <c r="C7" s="50">
        <f t="shared" si="0"/>
        <v>0</v>
      </c>
      <c r="D7" s="50">
        <v>0</v>
      </c>
      <c r="E7" s="50">
        <v>0</v>
      </c>
      <c r="F7" s="50">
        <v>0</v>
      </c>
      <c r="G7" s="50">
        <v>0</v>
      </c>
      <c r="H7" s="50">
        <v>0</v>
      </c>
      <c r="I7" s="50">
        <f t="shared" si="1"/>
        <v>0</v>
      </c>
      <c r="J7" s="50">
        <v>0</v>
      </c>
      <c r="K7" s="50">
        <v>0</v>
      </c>
      <c r="L7" s="50">
        <f t="shared" si="2"/>
        <v>0</v>
      </c>
      <c r="M7" s="50">
        <v>0</v>
      </c>
      <c r="N7" s="50">
        <v>0</v>
      </c>
      <c r="O7" s="50">
        <f t="shared" si="3"/>
        <v>0</v>
      </c>
      <c r="P7" s="50">
        <v>0</v>
      </c>
      <c r="Q7" s="50">
        <v>0</v>
      </c>
      <c r="R7" s="50">
        <f t="shared" si="4"/>
        <v>0</v>
      </c>
      <c r="S7" s="50">
        <v>0</v>
      </c>
      <c r="T7" s="50">
        <v>0</v>
      </c>
      <c r="U7" s="50">
        <f t="shared" si="5"/>
        <v>0</v>
      </c>
      <c r="V7" s="50">
        <v>0</v>
      </c>
      <c r="W7" s="50">
        <v>0</v>
      </c>
      <c r="X7" s="50">
        <f t="shared" si="6"/>
        <v>0</v>
      </c>
      <c r="Y7" s="50">
        <v>0</v>
      </c>
      <c r="Z7" s="50">
        <v>0</v>
      </c>
      <c r="AA7" s="50">
        <f t="shared" si="7"/>
        <v>0</v>
      </c>
      <c r="AB7" s="50">
        <v>0</v>
      </c>
      <c r="AC7" s="50">
        <v>0</v>
      </c>
      <c r="AD7" s="63">
        <f t="shared" si="8"/>
        <v>0</v>
      </c>
      <c r="AE7" s="63">
        <f t="shared" si="9"/>
        <v>0</v>
      </c>
      <c r="AF7" s="63">
        <f t="shared" si="10"/>
        <v>0</v>
      </c>
      <c r="AG7" s="66"/>
    </row>
    <row r="8" s="35" customFormat="1" ht="45" customHeight="1" spans="1:33">
      <c r="A8" s="48">
        <v>211</v>
      </c>
      <c r="B8" s="49" t="s">
        <v>353</v>
      </c>
      <c r="C8" s="50">
        <f t="shared" si="0"/>
        <v>0</v>
      </c>
      <c r="D8" s="50">
        <v>0</v>
      </c>
      <c r="E8" s="50">
        <v>0</v>
      </c>
      <c r="F8" s="50">
        <v>0</v>
      </c>
      <c r="G8" s="50">
        <v>0</v>
      </c>
      <c r="H8" s="50">
        <v>0</v>
      </c>
      <c r="I8" s="50">
        <f t="shared" si="1"/>
        <v>0</v>
      </c>
      <c r="J8" s="50">
        <v>0</v>
      </c>
      <c r="K8" s="50">
        <v>0</v>
      </c>
      <c r="L8" s="50">
        <f t="shared" si="2"/>
        <v>0</v>
      </c>
      <c r="M8" s="50">
        <v>0</v>
      </c>
      <c r="N8" s="50">
        <v>0</v>
      </c>
      <c r="O8" s="50">
        <f t="shared" si="3"/>
        <v>0</v>
      </c>
      <c r="P8" s="50">
        <v>0</v>
      </c>
      <c r="Q8" s="50">
        <v>0</v>
      </c>
      <c r="R8" s="50">
        <f t="shared" si="4"/>
        <v>0</v>
      </c>
      <c r="S8" s="50">
        <v>0</v>
      </c>
      <c r="T8" s="50">
        <v>0</v>
      </c>
      <c r="U8" s="50">
        <f t="shared" si="5"/>
        <v>0</v>
      </c>
      <c r="V8" s="50">
        <v>0</v>
      </c>
      <c r="W8" s="50">
        <v>0</v>
      </c>
      <c r="X8" s="50">
        <f t="shared" si="6"/>
        <v>0</v>
      </c>
      <c r="Y8" s="50">
        <v>0</v>
      </c>
      <c r="Z8" s="50">
        <v>0</v>
      </c>
      <c r="AA8" s="50">
        <f t="shared" si="7"/>
        <v>0</v>
      </c>
      <c r="AB8" s="50">
        <v>0</v>
      </c>
      <c r="AC8" s="50">
        <v>0</v>
      </c>
      <c r="AD8" s="63">
        <f t="shared" si="8"/>
        <v>0</v>
      </c>
      <c r="AE8" s="63">
        <f t="shared" si="9"/>
        <v>0</v>
      </c>
      <c r="AF8" s="63">
        <f t="shared" si="10"/>
        <v>0</v>
      </c>
      <c r="AG8" s="66"/>
    </row>
    <row r="9" s="35" customFormat="1" ht="45" customHeight="1" spans="1:33">
      <c r="A9" s="48">
        <v>212</v>
      </c>
      <c r="B9" s="49" t="s">
        <v>354</v>
      </c>
      <c r="C9" s="50">
        <f t="shared" si="0"/>
        <v>1066692</v>
      </c>
      <c r="D9" s="50">
        <v>775692</v>
      </c>
      <c r="E9" s="50">
        <v>291000</v>
      </c>
      <c r="F9" s="50">
        <v>0</v>
      </c>
      <c r="G9" s="50">
        <v>0</v>
      </c>
      <c r="H9" s="50">
        <v>0</v>
      </c>
      <c r="I9" s="50">
        <f t="shared" si="1"/>
        <v>7986</v>
      </c>
      <c r="J9" s="50">
        <v>7986</v>
      </c>
      <c r="K9" s="50"/>
      <c r="L9" s="50">
        <f t="shared" si="2"/>
        <v>-776655</v>
      </c>
      <c r="M9" s="50">
        <v>-646655</v>
      </c>
      <c r="N9" s="50">
        <v>-130000</v>
      </c>
      <c r="O9" s="50">
        <f t="shared" si="3"/>
        <v>0</v>
      </c>
      <c r="P9" s="50">
        <v>0</v>
      </c>
      <c r="Q9" s="50">
        <v>0</v>
      </c>
      <c r="R9" s="50">
        <f t="shared" si="4"/>
        <v>0</v>
      </c>
      <c r="S9" s="50">
        <v>0</v>
      </c>
      <c r="T9" s="50">
        <v>0</v>
      </c>
      <c r="U9" s="50">
        <f t="shared" si="5"/>
        <v>0</v>
      </c>
      <c r="V9" s="50"/>
      <c r="W9" s="50"/>
      <c r="X9" s="50">
        <f t="shared" si="6"/>
        <v>4765</v>
      </c>
      <c r="Y9" s="50">
        <v>4765</v>
      </c>
      <c r="Z9" s="50"/>
      <c r="AA9" s="50">
        <f t="shared" si="7"/>
        <v>5000</v>
      </c>
      <c r="AB9" s="50">
        <v>5000</v>
      </c>
      <c r="AC9" s="50">
        <v>0</v>
      </c>
      <c r="AD9" s="63">
        <f t="shared" si="8"/>
        <v>297788</v>
      </c>
      <c r="AE9" s="63">
        <f t="shared" si="9"/>
        <v>136788</v>
      </c>
      <c r="AF9" s="63">
        <f t="shared" si="10"/>
        <v>161000</v>
      </c>
      <c r="AG9" s="66"/>
    </row>
    <row r="10" s="35" customFormat="1" ht="45" customHeight="1" spans="1:33">
      <c r="A10" s="48">
        <v>213</v>
      </c>
      <c r="B10" s="49" t="s">
        <v>355</v>
      </c>
      <c r="C10" s="50">
        <f t="shared" si="0"/>
        <v>0</v>
      </c>
      <c r="D10" s="50">
        <v>0</v>
      </c>
      <c r="E10" s="50">
        <v>0</v>
      </c>
      <c r="F10" s="50">
        <v>0</v>
      </c>
      <c r="G10" s="50">
        <v>0</v>
      </c>
      <c r="H10" s="50">
        <v>0</v>
      </c>
      <c r="I10" s="50">
        <f t="shared" si="1"/>
        <v>0</v>
      </c>
      <c r="J10" s="50">
        <v>0</v>
      </c>
      <c r="K10" s="50">
        <v>0</v>
      </c>
      <c r="L10" s="50">
        <f t="shared" si="2"/>
        <v>0</v>
      </c>
      <c r="M10" s="50">
        <v>0</v>
      </c>
      <c r="N10" s="50">
        <v>0</v>
      </c>
      <c r="O10" s="50">
        <f t="shared" si="3"/>
        <v>0</v>
      </c>
      <c r="P10" s="50">
        <v>0</v>
      </c>
      <c r="Q10" s="50">
        <v>0</v>
      </c>
      <c r="R10" s="50">
        <f t="shared" si="4"/>
        <v>0</v>
      </c>
      <c r="S10" s="50">
        <v>0</v>
      </c>
      <c r="T10" s="50">
        <v>0</v>
      </c>
      <c r="U10" s="50">
        <f t="shared" si="5"/>
        <v>0</v>
      </c>
      <c r="V10" s="50">
        <v>0</v>
      </c>
      <c r="W10" s="50">
        <v>0</v>
      </c>
      <c r="X10" s="50">
        <f t="shared" si="6"/>
        <v>0</v>
      </c>
      <c r="Y10" s="50">
        <v>0</v>
      </c>
      <c r="Z10" s="50">
        <v>0</v>
      </c>
      <c r="AA10" s="50">
        <f t="shared" si="7"/>
        <v>0</v>
      </c>
      <c r="AB10" s="50">
        <v>0</v>
      </c>
      <c r="AC10" s="50">
        <v>0</v>
      </c>
      <c r="AD10" s="63">
        <f t="shared" si="8"/>
        <v>0</v>
      </c>
      <c r="AE10" s="63">
        <f t="shared" si="9"/>
        <v>0</v>
      </c>
      <c r="AF10" s="63">
        <f t="shared" si="10"/>
        <v>0</v>
      </c>
      <c r="AG10" s="66"/>
    </row>
    <row r="11" s="35" customFormat="1" ht="45" customHeight="1" spans="1:33">
      <c r="A11" s="48">
        <v>214</v>
      </c>
      <c r="B11" s="49" t="s">
        <v>356</v>
      </c>
      <c r="C11" s="50">
        <f t="shared" si="0"/>
        <v>0</v>
      </c>
      <c r="D11" s="50">
        <v>0</v>
      </c>
      <c r="E11" s="50">
        <v>0</v>
      </c>
      <c r="F11" s="50">
        <v>0</v>
      </c>
      <c r="G11" s="50">
        <v>0</v>
      </c>
      <c r="H11" s="50">
        <v>0</v>
      </c>
      <c r="I11" s="50">
        <f t="shared" si="1"/>
        <v>0</v>
      </c>
      <c r="J11" s="50">
        <v>0</v>
      </c>
      <c r="K11" s="50">
        <v>0</v>
      </c>
      <c r="L11" s="50">
        <f t="shared" si="2"/>
        <v>0</v>
      </c>
      <c r="M11" s="50">
        <v>0</v>
      </c>
      <c r="N11" s="50">
        <v>0</v>
      </c>
      <c r="O11" s="50">
        <f t="shared" si="3"/>
        <v>0</v>
      </c>
      <c r="P11" s="50">
        <v>0</v>
      </c>
      <c r="Q11" s="50">
        <v>0</v>
      </c>
      <c r="R11" s="50">
        <f t="shared" si="4"/>
        <v>0</v>
      </c>
      <c r="S11" s="50">
        <v>0</v>
      </c>
      <c r="T11" s="50">
        <v>0</v>
      </c>
      <c r="U11" s="50">
        <f t="shared" si="5"/>
        <v>0</v>
      </c>
      <c r="V11" s="50">
        <v>0</v>
      </c>
      <c r="W11" s="50">
        <v>0</v>
      </c>
      <c r="X11" s="50">
        <f t="shared" si="6"/>
        <v>0</v>
      </c>
      <c r="Y11" s="50">
        <v>0</v>
      </c>
      <c r="Z11" s="50">
        <v>0</v>
      </c>
      <c r="AA11" s="50">
        <f t="shared" si="7"/>
        <v>0</v>
      </c>
      <c r="AB11" s="50">
        <v>0</v>
      </c>
      <c r="AC11" s="50">
        <v>0</v>
      </c>
      <c r="AD11" s="63">
        <f t="shared" si="8"/>
        <v>0</v>
      </c>
      <c r="AE11" s="63">
        <f t="shared" si="9"/>
        <v>0</v>
      </c>
      <c r="AF11" s="63">
        <f t="shared" si="10"/>
        <v>0</v>
      </c>
      <c r="AG11" s="66"/>
    </row>
    <row r="12" s="35" customFormat="1" ht="45" customHeight="1" spans="1:33">
      <c r="A12" s="48">
        <v>215</v>
      </c>
      <c r="B12" s="49" t="s">
        <v>575</v>
      </c>
      <c r="C12" s="50">
        <f t="shared" si="0"/>
        <v>0</v>
      </c>
      <c r="D12" s="50">
        <v>0</v>
      </c>
      <c r="E12" s="50">
        <v>0</v>
      </c>
      <c r="F12" s="50">
        <v>0</v>
      </c>
      <c r="G12" s="50">
        <v>0</v>
      </c>
      <c r="H12" s="50">
        <v>0</v>
      </c>
      <c r="I12" s="50">
        <f t="shared" si="1"/>
        <v>0</v>
      </c>
      <c r="J12" s="50">
        <v>0</v>
      </c>
      <c r="K12" s="50">
        <v>0</v>
      </c>
      <c r="L12" s="50">
        <f t="shared" si="2"/>
        <v>0</v>
      </c>
      <c r="M12" s="50">
        <v>0</v>
      </c>
      <c r="N12" s="50">
        <v>0</v>
      </c>
      <c r="O12" s="50">
        <f t="shared" si="3"/>
        <v>0</v>
      </c>
      <c r="P12" s="50">
        <v>0</v>
      </c>
      <c r="Q12" s="50">
        <v>0</v>
      </c>
      <c r="R12" s="50">
        <f t="shared" si="4"/>
        <v>0</v>
      </c>
      <c r="S12" s="50">
        <v>0</v>
      </c>
      <c r="T12" s="50">
        <v>0</v>
      </c>
      <c r="U12" s="50">
        <f t="shared" si="5"/>
        <v>0</v>
      </c>
      <c r="V12" s="50">
        <v>0</v>
      </c>
      <c r="W12" s="50">
        <v>0</v>
      </c>
      <c r="X12" s="50">
        <f t="shared" si="6"/>
        <v>0</v>
      </c>
      <c r="Y12" s="50">
        <v>0</v>
      </c>
      <c r="Z12" s="50">
        <v>0</v>
      </c>
      <c r="AA12" s="50">
        <f t="shared" si="7"/>
        <v>0</v>
      </c>
      <c r="AB12" s="50">
        <v>0</v>
      </c>
      <c r="AC12" s="50">
        <v>0</v>
      </c>
      <c r="AD12" s="63">
        <f t="shared" si="8"/>
        <v>0</v>
      </c>
      <c r="AE12" s="63">
        <f t="shared" si="9"/>
        <v>0</v>
      </c>
      <c r="AF12" s="63">
        <f t="shared" si="10"/>
        <v>0</v>
      </c>
      <c r="AG12" s="66"/>
    </row>
    <row r="13" s="35" customFormat="1" ht="45" customHeight="1" spans="1:34">
      <c r="A13" s="48">
        <v>229</v>
      </c>
      <c r="B13" s="51" t="s">
        <v>367</v>
      </c>
      <c r="C13" s="50">
        <f t="shared" si="0"/>
        <v>1200</v>
      </c>
      <c r="D13" s="50">
        <v>1200</v>
      </c>
      <c r="E13" s="50"/>
      <c r="F13" s="50">
        <v>0</v>
      </c>
      <c r="G13" s="50">
        <v>0</v>
      </c>
      <c r="H13" s="50">
        <v>0</v>
      </c>
      <c r="I13" s="50">
        <f t="shared" si="1"/>
        <v>63387</v>
      </c>
      <c r="J13" s="50">
        <v>12576</v>
      </c>
      <c r="K13" s="50">
        <v>50811</v>
      </c>
      <c r="L13" s="50">
        <f t="shared" si="2"/>
        <v>1300</v>
      </c>
      <c r="M13" s="50">
        <v>1300</v>
      </c>
      <c r="N13" s="50">
        <v>0</v>
      </c>
      <c r="O13" s="50">
        <f t="shared" si="3"/>
        <v>0</v>
      </c>
      <c r="P13" s="50">
        <v>0</v>
      </c>
      <c r="Q13" s="50">
        <v>0</v>
      </c>
      <c r="R13" s="50">
        <f t="shared" si="4"/>
        <v>0</v>
      </c>
      <c r="S13" s="50">
        <v>0</v>
      </c>
      <c r="T13" s="50">
        <v>0</v>
      </c>
      <c r="U13" s="50">
        <f t="shared" si="5"/>
        <v>313210</v>
      </c>
      <c r="V13" s="50">
        <v>205310</v>
      </c>
      <c r="W13" s="50">
        <v>107900</v>
      </c>
      <c r="X13" s="50">
        <f t="shared" si="6"/>
        <v>0</v>
      </c>
      <c r="Y13" s="50">
        <v>0</v>
      </c>
      <c r="Z13" s="50"/>
      <c r="AA13" s="50">
        <f t="shared" si="7"/>
        <v>0</v>
      </c>
      <c r="AB13" s="50">
        <v>0</v>
      </c>
      <c r="AC13" s="50">
        <v>0</v>
      </c>
      <c r="AD13" s="63">
        <f t="shared" si="8"/>
        <v>379097</v>
      </c>
      <c r="AE13" s="63">
        <f t="shared" si="9"/>
        <v>220386</v>
      </c>
      <c r="AF13" s="63">
        <f t="shared" si="10"/>
        <v>158711</v>
      </c>
      <c r="AG13"/>
      <c r="AH13"/>
    </row>
    <row r="14" s="35" customFormat="1" ht="45" customHeight="1" spans="1:33">
      <c r="A14" s="48">
        <v>232</v>
      </c>
      <c r="B14" s="52" t="s">
        <v>576</v>
      </c>
      <c r="C14" s="50">
        <f t="shared" si="0"/>
        <v>29457.5913</v>
      </c>
      <c r="D14" s="50">
        <v>20457.5913</v>
      </c>
      <c r="E14" s="50">
        <v>9000</v>
      </c>
      <c r="F14" s="50">
        <v>0</v>
      </c>
      <c r="G14" s="50">
        <v>0</v>
      </c>
      <c r="H14" s="50">
        <v>0</v>
      </c>
      <c r="I14" s="50">
        <f t="shared" si="1"/>
        <v>0</v>
      </c>
      <c r="J14" s="50">
        <v>0</v>
      </c>
      <c r="K14" s="50">
        <v>0</v>
      </c>
      <c r="L14" s="50">
        <f t="shared" si="2"/>
        <v>3280</v>
      </c>
      <c r="M14" s="50">
        <v>3280</v>
      </c>
      <c r="N14" s="50">
        <v>0</v>
      </c>
      <c r="O14" s="50">
        <f t="shared" si="3"/>
        <v>0</v>
      </c>
      <c r="P14" s="50">
        <v>0</v>
      </c>
      <c r="Q14" s="50">
        <v>0</v>
      </c>
      <c r="R14" s="50">
        <f t="shared" si="4"/>
        <v>0</v>
      </c>
      <c r="S14" s="50">
        <v>0</v>
      </c>
      <c r="T14" s="50">
        <v>0</v>
      </c>
      <c r="U14" s="50">
        <f t="shared" si="5"/>
        <v>0</v>
      </c>
      <c r="V14" s="50">
        <v>0</v>
      </c>
      <c r="W14" s="50">
        <v>0</v>
      </c>
      <c r="X14" s="50">
        <f t="shared" si="6"/>
        <v>-4693</v>
      </c>
      <c r="Y14" s="50">
        <v>-4693</v>
      </c>
      <c r="Z14" s="50"/>
      <c r="AA14" s="50">
        <f t="shared" si="7"/>
        <v>0</v>
      </c>
      <c r="AB14" s="50">
        <v>0</v>
      </c>
      <c r="AC14" s="50">
        <v>0</v>
      </c>
      <c r="AD14" s="63">
        <f t="shared" si="8"/>
        <v>28044.5913</v>
      </c>
      <c r="AE14" s="63">
        <f t="shared" si="9"/>
        <v>19044.5913</v>
      </c>
      <c r="AF14" s="63">
        <f t="shared" si="10"/>
        <v>9000</v>
      </c>
      <c r="AG14" s="66"/>
    </row>
    <row r="15" s="35" customFormat="1" ht="45" customHeight="1" spans="1:33">
      <c r="A15" s="48">
        <v>233</v>
      </c>
      <c r="B15" s="49" t="s">
        <v>577</v>
      </c>
      <c r="C15" s="50">
        <f t="shared" si="0"/>
        <v>250</v>
      </c>
      <c r="D15" s="50">
        <v>250</v>
      </c>
      <c r="E15" s="50"/>
      <c r="F15" s="50">
        <v>0</v>
      </c>
      <c r="G15" s="50">
        <v>0</v>
      </c>
      <c r="H15" s="50">
        <v>0</v>
      </c>
      <c r="I15" s="50">
        <f t="shared" si="1"/>
        <v>0</v>
      </c>
      <c r="J15" s="50">
        <v>0</v>
      </c>
      <c r="K15" s="50">
        <v>0</v>
      </c>
      <c r="L15" s="50">
        <f t="shared" si="2"/>
        <v>0</v>
      </c>
      <c r="M15" s="50">
        <v>0</v>
      </c>
      <c r="N15" s="50">
        <v>0</v>
      </c>
      <c r="O15" s="50">
        <f t="shared" si="3"/>
        <v>0</v>
      </c>
      <c r="P15" s="50">
        <v>0</v>
      </c>
      <c r="Q15" s="50">
        <v>0</v>
      </c>
      <c r="R15" s="50">
        <f t="shared" si="4"/>
        <v>0</v>
      </c>
      <c r="S15" s="50">
        <v>0</v>
      </c>
      <c r="T15" s="50">
        <v>0</v>
      </c>
      <c r="U15" s="50">
        <f t="shared" si="5"/>
        <v>0</v>
      </c>
      <c r="V15" s="50">
        <v>0</v>
      </c>
      <c r="W15" s="50">
        <v>0</v>
      </c>
      <c r="X15" s="50">
        <f t="shared" si="6"/>
        <v>-72</v>
      </c>
      <c r="Y15" s="50">
        <v>-72</v>
      </c>
      <c r="Z15" s="50"/>
      <c r="AA15" s="50">
        <f t="shared" si="7"/>
        <v>0</v>
      </c>
      <c r="AB15" s="50">
        <v>0</v>
      </c>
      <c r="AC15" s="50">
        <v>0</v>
      </c>
      <c r="AD15" s="63">
        <f t="shared" si="8"/>
        <v>178</v>
      </c>
      <c r="AE15" s="63">
        <f t="shared" si="9"/>
        <v>178</v>
      </c>
      <c r="AF15" s="63">
        <f t="shared" si="10"/>
        <v>0</v>
      </c>
      <c r="AG15" s="66"/>
    </row>
    <row r="16" s="35" customFormat="1" ht="37.5" customHeight="1" spans="1:33">
      <c r="A16" s="53"/>
      <c r="B16" s="54" t="s">
        <v>166</v>
      </c>
      <c r="C16" s="50">
        <f t="shared" si="0"/>
        <v>1097599.5913</v>
      </c>
      <c r="D16" s="50">
        <f t="shared" ref="D16:AC16" si="11">SUM(D5:D15)</f>
        <v>797599.5913</v>
      </c>
      <c r="E16" s="50">
        <f t="shared" si="11"/>
        <v>300000</v>
      </c>
      <c r="F16" s="50">
        <f t="shared" si="11"/>
        <v>0</v>
      </c>
      <c r="G16" s="50">
        <f t="shared" si="11"/>
        <v>0</v>
      </c>
      <c r="H16" s="50">
        <f t="shared" si="11"/>
        <v>0</v>
      </c>
      <c r="I16" s="50">
        <f t="shared" si="11"/>
        <v>71373</v>
      </c>
      <c r="J16" s="50">
        <f t="shared" si="11"/>
        <v>20562</v>
      </c>
      <c r="K16" s="50">
        <f t="shared" si="11"/>
        <v>50811</v>
      </c>
      <c r="L16" s="50">
        <f t="shared" si="11"/>
        <v>-772075</v>
      </c>
      <c r="M16" s="50">
        <f t="shared" si="11"/>
        <v>-642075</v>
      </c>
      <c r="N16" s="50">
        <f t="shared" si="11"/>
        <v>-130000</v>
      </c>
      <c r="O16" s="50">
        <f t="shared" si="11"/>
        <v>0</v>
      </c>
      <c r="P16" s="50">
        <f t="shared" si="11"/>
        <v>0</v>
      </c>
      <c r="Q16" s="50">
        <f t="shared" si="11"/>
        <v>0</v>
      </c>
      <c r="R16" s="50">
        <f t="shared" si="11"/>
        <v>0</v>
      </c>
      <c r="S16" s="50">
        <f t="shared" si="11"/>
        <v>0</v>
      </c>
      <c r="T16" s="50">
        <f t="shared" si="11"/>
        <v>0</v>
      </c>
      <c r="U16" s="50">
        <f t="shared" si="11"/>
        <v>313210</v>
      </c>
      <c r="V16" s="50">
        <f t="shared" si="11"/>
        <v>205310</v>
      </c>
      <c r="W16" s="50">
        <f t="shared" si="11"/>
        <v>107900</v>
      </c>
      <c r="X16" s="50">
        <f t="shared" si="11"/>
        <v>0</v>
      </c>
      <c r="Y16" s="50">
        <f t="shared" si="11"/>
        <v>0</v>
      </c>
      <c r="Z16" s="50">
        <f t="shared" si="11"/>
        <v>0</v>
      </c>
      <c r="AA16" s="50">
        <f t="shared" si="11"/>
        <v>5000</v>
      </c>
      <c r="AB16" s="50">
        <f t="shared" si="11"/>
        <v>5000</v>
      </c>
      <c r="AC16" s="50">
        <f t="shared" si="11"/>
        <v>0</v>
      </c>
      <c r="AD16" s="63">
        <f t="shared" si="8"/>
        <v>705107.5913</v>
      </c>
      <c r="AE16" s="63">
        <f t="shared" si="9"/>
        <v>376396.5913</v>
      </c>
      <c r="AF16" s="63">
        <f t="shared" si="10"/>
        <v>328711</v>
      </c>
      <c r="AG16" s="66"/>
    </row>
    <row r="17" spans="30:32">
      <c r="AD17" s="37">
        <f>AD16-C16</f>
        <v>-392492</v>
      </c>
      <c r="AE17" s="37">
        <f>AE16-D16</f>
        <v>-421203</v>
      </c>
      <c r="AF17" s="37">
        <f>AF16-E16</f>
        <v>28711</v>
      </c>
    </row>
  </sheetData>
  <mergeCells count="24">
    <mergeCell ref="A1:AF1"/>
    <mergeCell ref="G2:W2"/>
    <mergeCell ref="D3:E3"/>
    <mergeCell ref="G3:H3"/>
    <mergeCell ref="J3:K3"/>
    <mergeCell ref="M3:N3"/>
    <mergeCell ref="P3:Q3"/>
    <mergeCell ref="S3:T3"/>
    <mergeCell ref="V3:W3"/>
    <mergeCell ref="Y3:Z3"/>
    <mergeCell ref="AB3:AC3"/>
    <mergeCell ref="AE3:AF3"/>
    <mergeCell ref="A3:A4"/>
    <mergeCell ref="B3:B4"/>
    <mergeCell ref="C3:C4"/>
    <mergeCell ref="F3:F4"/>
    <mergeCell ref="I3:I4"/>
    <mergeCell ref="L3:L4"/>
    <mergeCell ref="O3:O4"/>
    <mergeCell ref="R3:R4"/>
    <mergeCell ref="U3:U4"/>
    <mergeCell ref="X3:X4"/>
    <mergeCell ref="AA3:AA4"/>
    <mergeCell ref="AD3:AD4"/>
  </mergeCells>
  <pageMargins left="0.700694444444445" right="0.700694444444445" top="0.751388888888889" bottom="0.751388888888889" header="0.298611111111111" footer="0.298611111111111"/>
  <pageSetup paperSize="9" scale="48" firstPageNumber="28" orientation="landscape" useFirstPageNumber="1" horizontalDpi="600"/>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76"/>
  <sheetViews>
    <sheetView view="pageBreakPreview" zoomScaleNormal="100" workbookViewId="0">
      <selection activeCell="A1" sqref="A1:G1"/>
    </sheetView>
  </sheetViews>
  <sheetFormatPr defaultColWidth="9" defaultRowHeight="18.75"/>
  <cols>
    <col min="1" max="1" width="7.5" style="5" customWidth="1"/>
    <col min="2" max="2" width="43.375" style="1" customWidth="1"/>
    <col min="3" max="3" width="60.375" style="1" customWidth="1"/>
    <col min="4" max="4" width="19.75" style="1" customWidth="1"/>
    <col min="5" max="5" width="19.5" style="1" customWidth="1"/>
    <col min="6" max="6" width="23.625" style="1" customWidth="1"/>
    <col min="7" max="7" width="147.5" style="1" hidden="1" customWidth="1"/>
    <col min="8" max="16380" width="9" style="1"/>
    <col min="16381" max="16384" width="9" style="6"/>
  </cols>
  <sheetData>
    <row r="1" s="1" customFormat="1" ht="37" customHeight="1" spans="1:7">
      <c r="A1" s="7" t="s">
        <v>578</v>
      </c>
      <c r="B1" s="7"/>
      <c r="C1" s="7"/>
      <c r="D1" s="7"/>
      <c r="E1" s="7"/>
      <c r="F1" s="7"/>
      <c r="G1" s="7"/>
    </row>
    <row r="2" s="1" customFormat="1" ht="18" customHeight="1" spans="1:7">
      <c r="A2" s="8" t="s">
        <v>1</v>
      </c>
      <c r="B2" s="8"/>
      <c r="C2" s="5" t="s">
        <v>2</v>
      </c>
      <c r="F2" s="9" t="s">
        <v>3</v>
      </c>
      <c r="G2" s="10" t="s">
        <v>3</v>
      </c>
    </row>
    <row r="3" s="2" customFormat="1" ht="36" customHeight="1" spans="1:16384">
      <c r="A3" s="11" t="s">
        <v>579</v>
      </c>
      <c r="B3" s="11" t="s">
        <v>580</v>
      </c>
      <c r="C3" s="11" t="s">
        <v>581</v>
      </c>
      <c r="D3" s="12" t="s">
        <v>582</v>
      </c>
      <c r="E3" s="13" t="s">
        <v>583</v>
      </c>
      <c r="F3" s="12" t="s">
        <v>584</v>
      </c>
      <c r="G3" s="12" t="s">
        <v>163</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c r="XEW3" s="14"/>
      <c r="XEX3" s="14"/>
      <c r="XEY3" s="14"/>
      <c r="XEZ3" s="14"/>
      <c r="XFA3" s="31"/>
      <c r="XFB3" s="31"/>
      <c r="XFC3" s="31"/>
      <c r="XFD3" s="31"/>
    </row>
    <row r="4" s="1" customFormat="1" ht="20" customHeight="1" spans="1:7">
      <c r="A4" s="15">
        <v>1</v>
      </c>
      <c r="B4" s="16" t="s">
        <v>585</v>
      </c>
      <c r="C4" s="17" t="s">
        <v>275</v>
      </c>
      <c r="D4" s="18">
        <v>6500</v>
      </c>
      <c r="E4" s="19"/>
      <c r="F4" s="18">
        <v>6500</v>
      </c>
      <c r="G4" s="19"/>
    </row>
    <row r="5" s="1" customFormat="1" ht="20" customHeight="1" spans="1:7">
      <c r="A5" s="15">
        <v>2</v>
      </c>
      <c r="B5" s="16" t="s">
        <v>585</v>
      </c>
      <c r="C5" s="17" t="s">
        <v>276</v>
      </c>
      <c r="D5" s="18">
        <v>3000</v>
      </c>
      <c r="E5" s="19"/>
      <c r="F5" s="18">
        <v>3000</v>
      </c>
      <c r="G5" s="19"/>
    </row>
    <row r="6" s="1" customFormat="1" ht="20" customHeight="1" spans="1:7">
      <c r="A6" s="15">
        <v>3</v>
      </c>
      <c r="B6" s="16" t="s">
        <v>586</v>
      </c>
      <c r="C6" s="17" t="s">
        <v>279</v>
      </c>
      <c r="D6" s="18">
        <v>4000</v>
      </c>
      <c r="E6" s="19"/>
      <c r="F6" s="18">
        <v>4000</v>
      </c>
      <c r="G6" s="19"/>
    </row>
    <row r="7" s="1" customFormat="1" ht="20" customHeight="1" spans="1:7">
      <c r="A7" s="15">
        <v>4</v>
      </c>
      <c r="B7" s="16" t="s">
        <v>586</v>
      </c>
      <c r="C7" s="17" t="s">
        <v>283</v>
      </c>
      <c r="D7" s="18">
        <v>1500</v>
      </c>
      <c r="E7" s="19"/>
      <c r="F7" s="18">
        <v>1500</v>
      </c>
      <c r="G7" s="19"/>
    </row>
    <row r="8" s="1" customFormat="1" ht="20" customHeight="1" spans="1:7">
      <c r="A8" s="15">
        <v>5</v>
      </c>
      <c r="B8" s="16" t="s">
        <v>587</v>
      </c>
      <c r="C8" s="17" t="s">
        <v>277</v>
      </c>
      <c r="D8" s="18">
        <v>3300</v>
      </c>
      <c r="E8" s="19"/>
      <c r="F8" s="18">
        <v>3300</v>
      </c>
      <c r="G8" s="19"/>
    </row>
    <row r="9" s="1" customFormat="1" ht="20" customHeight="1" spans="1:7">
      <c r="A9" s="15">
        <v>6</v>
      </c>
      <c r="B9" s="16" t="s">
        <v>587</v>
      </c>
      <c r="C9" s="17" t="s">
        <v>278</v>
      </c>
      <c r="D9" s="18">
        <v>700</v>
      </c>
      <c r="E9" s="19"/>
      <c r="F9" s="18">
        <v>700</v>
      </c>
      <c r="G9" s="19"/>
    </row>
    <row r="10" s="1" customFormat="1" ht="20" customHeight="1" spans="1:7">
      <c r="A10" s="15">
        <v>7</v>
      </c>
      <c r="B10" s="16" t="s">
        <v>587</v>
      </c>
      <c r="C10" s="17" t="s">
        <v>284</v>
      </c>
      <c r="D10" s="18">
        <v>500</v>
      </c>
      <c r="E10" s="19"/>
      <c r="F10" s="18">
        <v>500</v>
      </c>
      <c r="G10" s="19"/>
    </row>
    <row r="11" s="1" customFormat="1" ht="20" customHeight="1" spans="1:7">
      <c r="A11" s="15">
        <v>8</v>
      </c>
      <c r="B11" s="16" t="s">
        <v>588</v>
      </c>
      <c r="C11" s="17" t="s">
        <v>280</v>
      </c>
      <c r="D11" s="18">
        <v>3532</v>
      </c>
      <c r="E11" s="19"/>
      <c r="F11" s="18">
        <v>3532</v>
      </c>
      <c r="G11" s="19"/>
    </row>
    <row r="12" s="1" customFormat="1" ht="20" customHeight="1" spans="1:7">
      <c r="A12" s="15">
        <v>9</v>
      </c>
      <c r="B12" s="16" t="s">
        <v>588</v>
      </c>
      <c r="C12" s="17" t="s">
        <v>281</v>
      </c>
      <c r="D12" s="18">
        <v>1000</v>
      </c>
      <c r="E12" s="19"/>
      <c r="F12" s="18">
        <v>1000</v>
      </c>
      <c r="G12" s="19"/>
    </row>
    <row r="13" s="1" customFormat="1" ht="20" customHeight="1" spans="1:7">
      <c r="A13" s="15">
        <v>10</v>
      </c>
      <c r="B13" s="16" t="s">
        <v>588</v>
      </c>
      <c r="C13" s="17" t="s">
        <v>282</v>
      </c>
      <c r="D13" s="18">
        <v>1000</v>
      </c>
      <c r="E13" s="19"/>
      <c r="F13" s="18">
        <v>1000</v>
      </c>
      <c r="G13" s="19"/>
    </row>
    <row r="14" s="3" customFormat="1" ht="20" customHeight="1" spans="1:7">
      <c r="A14" s="20"/>
      <c r="B14" s="21" t="s">
        <v>589</v>
      </c>
      <c r="C14" s="22"/>
      <c r="D14" s="23">
        <f>SUM(D4:D13)</f>
        <v>25032</v>
      </c>
      <c r="E14" s="23">
        <f>SUM(E4:E13)</f>
        <v>0</v>
      </c>
      <c r="F14" s="23">
        <f>SUM(F4:F13)</f>
        <v>25032</v>
      </c>
      <c r="G14" s="24"/>
    </row>
    <row r="15" s="1" customFormat="1" ht="20" customHeight="1" spans="1:7">
      <c r="A15" s="15">
        <v>1</v>
      </c>
      <c r="B15" s="25" t="s">
        <v>590</v>
      </c>
      <c r="C15" s="17" t="s">
        <v>500</v>
      </c>
      <c r="D15" s="19">
        <f>VLOOKUP(C15,'[1]2023年'!$C:$D,2,FALSE)</f>
        <v>3500</v>
      </c>
      <c r="E15" s="19"/>
      <c r="F15" s="18">
        <v>3500</v>
      </c>
      <c r="G15" s="19"/>
    </row>
    <row r="16" s="1" customFormat="1" ht="20" customHeight="1" spans="1:7">
      <c r="A16" s="15">
        <v>2</v>
      </c>
      <c r="B16" s="25" t="s">
        <v>591</v>
      </c>
      <c r="C16" s="17" t="s">
        <v>501</v>
      </c>
      <c r="D16" s="19">
        <f>VLOOKUP(C16,'[1]2023年'!$C:$D,2,FALSE)</f>
        <v>15650</v>
      </c>
      <c r="E16" s="19">
        <f>F16-D16</f>
        <v>-8601</v>
      </c>
      <c r="F16" s="18">
        <v>7049</v>
      </c>
      <c r="G16" s="19"/>
    </row>
    <row r="17" s="1" customFormat="1" ht="20" customHeight="1" spans="1:7">
      <c r="A17" s="15">
        <v>3</v>
      </c>
      <c r="B17" s="26" t="s">
        <v>586</v>
      </c>
      <c r="C17" s="17" t="s">
        <v>414</v>
      </c>
      <c r="D17" s="19"/>
      <c r="E17" s="19">
        <f t="shared" ref="E17:E53" si="0">F17-D17</f>
        <v>121</v>
      </c>
      <c r="F17" s="18">
        <v>121</v>
      </c>
      <c r="G17" s="19" t="s">
        <v>592</v>
      </c>
    </row>
    <row r="18" s="1" customFormat="1" ht="20" customHeight="1" spans="1:7">
      <c r="A18" s="15">
        <v>4</v>
      </c>
      <c r="B18" s="25" t="s">
        <v>587</v>
      </c>
      <c r="C18" s="17" t="s">
        <v>502</v>
      </c>
      <c r="D18" s="19"/>
      <c r="E18" s="19">
        <f t="shared" si="0"/>
        <v>3491</v>
      </c>
      <c r="F18" s="18">
        <v>3491</v>
      </c>
      <c r="G18" s="19" t="s">
        <v>593</v>
      </c>
    </row>
    <row r="19" s="1" customFormat="1" ht="20" customHeight="1" spans="1:7">
      <c r="A19" s="15">
        <v>5</v>
      </c>
      <c r="B19" s="25" t="s">
        <v>587</v>
      </c>
      <c r="C19" s="17" t="s">
        <v>503</v>
      </c>
      <c r="D19" s="19"/>
      <c r="E19" s="19">
        <f t="shared" si="0"/>
        <v>1979</v>
      </c>
      <c r="F19" s="18">
        <v>1979</v>
      </c>
      <c r="G19" s="19" t="s">
        <v>594</v>
      </c>
    </row>
    <row r="20" s="1" customFormat="1" ht="20" customHeight="1" spans="1:7">
      <c r="A20" s="15">
        <v>6</v>
      </c>
      <c r="B20" s="25" t="s">
        <v>591</v>
      </c>
      <c r="C20" s="17" t="s">
        <v>504</v>
      </c>
      <c r="D20" s="19">
        <f>VLOOKUP(C20,'[1]2023年'!$C:$D,2,FALSE)</f>
        <v>7700</v>
      </c>
      <c r="E20" s="19">
        <f t="shared" si="0"/>
        <v>-3933</v>
      </c>
      <c r="F20" s="18">
        <v>3767</v>
      </c>
      <c r="G20" s="19"/>
    </row>
    <row r="21" s="1" customFormat="1" ht="20" customHeight="1" spans="1:7">
      <c r="A21" s="15">
        <v>7</v>
      </c>
      <c r="B21" s="25" t="s">
        <v>595</v>
      </c>
      <c r="C21" s="17" t="s">
        <v>505</v>
      </c>
      <c r="D21" s="19"/>
      <c r="E21" s="19">
        <f t="shared" si="0"/>
        <v>200</v>
      </c>
      <c r="F21" s="18">
        <v>200</v>
      </c>
      <c r="G21" s="19" t="s">
        <v>596</v>
      </c>
    </row>
    <row r="22" s="1" customFormat="1" ht="20" customHeight="1" spans="1:7">
      <c r="A22" s="15">
        <v>8</v>
      </c>
      <c r="B22" s="25" t="s">
        <v>595</v>
      </c>
      <c r="C22" s="17" t="s">
        <v>506</v>
      </c>
      <c r="D22" s="19"/>
      <c r="E22" s="19">
        <f t="shared" si="0"/>
        <v>1662</v>
      </c>
      <c r="F22" s="18">
        <v>1662</v>
      </c>
      <c r="G22" s="19" t="s">
        <v>597</v>
      </c>
    </row>
    <row r="23" s="1" customFormat="1" ht="20" customHeight="1" spans="1:7">
      <c r="A23" s="15">
        <v>9</v>
      </c>
      <c r="B23" s="25" t="s">
        <v>595</v>
      </c>
      <c r="C23" s="17" t="s">
        <v>507</v>
      </c>
      <c r="D23" s="19"/>
      <c r="E23" s="19">
        <f t="shared" si="0"/>
        <v>150</v>
      </c>
      <c r="F23" s="18">
        <v>150</v>
      </c>
      <c r="G23" s="19" t="s">
        <v>598</v>
      </c>
    </row>
    <row r="24" s="1" customFormat="1" ht="20" customHeight="1" spans="1:7">
      <c r="A24" s="15">
        <v>10</v>
      </c>
      <c r="B24" s="25" t="s">
        <v>595</v>
      </c>
      <c r="C24" s="17" t="s">
        <v>508</v>
      </c>
      <c r="D24" s="19"/>
      <c r="E24" s="19">
        <f t="shared" si="0"/>
        <v>750</v>
      </c>
      <c r="F24" s="18">
        <v>750</v>
      </c>
      <c r="G24" s="19" t="s">
        <v>599</v>
      </c>
    </row>
    <row r="25" s="1" customFormat="1" ht="20" customHeight="1" spans="1:7">
      <c r="A25" s="15">
        <v>11</v>
      </c>
      <c r="B25" s="25" t="s">
        <v>595</v>
      </c>
      <c r="C25" s="17" t="s">
        <v>509</v>
      </c>
      <c r="D25" s="19"/>
      <c r="E25" s="19">
        <f t="shared" si="0"/>
        <v>883</v>
      </c>
      <c r="F25" s="18">
        <v>883</v>
      </c>
      <c r="G25" s="19" t="s">
        <v>600</v>
      </c>
    </row>
    <row r="26" s="1" customFormat="1" ht="20" customHeight="1" spans="1:7">
      <c r="A26" s="15">
        <v>12</v>
      </c>
      <c r="B26" s="25" t="s">
        <v>595</v>
      </c>
      <c r="C26" s="17" t="s">
        <v>510</v>
      </c>
      <c r="D26" s="19"/>
      <c r="E26" s="19">
        <f t="shared" si="0"/>
        <v>200</v>
      </c>
      <c r="F26" s="18">
        <v>200</v>
      </c>
      <c r="G26" s="19" t="s">
        <v>596</v>
      </c>
    </row>
    <row r="27" s="1" customFormat="1" ht="20" customHeight="1" spans="1:7">
      <c r="A27" s="15">
        <v>13</v>
      </c>
      <c r="B27" s="25" t="s">
        <v>595</v>
      </c>
      <c r="C27" s="17" t="s">
        <v>511</v>
      </c>
      <c r="D27" s="19">
        <f>VLOOKUP(C27,'[1]2023年'!$C:$D,2,FALSE)</f>
        <v>3000</v>
      </c>
      <c r="E27" s="19">
        <f t="shared" si="0"/>
        <v>0</v>
      </c>
      <c r="F27" s="18">
        <v>3000</v>
      </c>
      <c r="G27" s="19" t="s">
        <v>601</v>
      </c>
    </row>
    <row r="28" s="1" customFormat="1" ht="20" customHeight="1" spans="1:7">
      <c r="A28" s="15">
        <v>14</v>
      </c>
      <c r="B28" s="25" t="s">
        <v>602</v>
      </c>
      <c r="C28" s="17" t="s">
        <v>512</v>
      </c>
      <c r="D28" s="19">
        <f>VLOOKUP(C28,'[1]2023年'!$C:$D,2,FALSE)</f>
        <v>4000</v>
      </c>
      <c r="E28" s="19">
        <f t="shared" si="0"/>
        <v>0</v>
      </c>
      <c r="F28" s="18">
        <v>4000</v>
      </c>
      <c r="G28" s="19"/>
    </row>
    <row r="29" s="1" customFormat="1" ht="20" customHeight="1" spans="1:7">
      <c r="A29" s="15">
        <v>15</v>
      </c>
      <c r="B29" s="25" t="s">
        <v>603</v>
      </c>
      <c r="C29" s="17" t="s">
        <v>513</v>
      </c>
      <c r="D29" s="19">
        <f>VLOOKUP(C29,'[1]2023年'!$C:$D,2,FALSE)</f>
        <v>101800</v>
      </c>
      <c r="E29" s="19">
        <f t="shared" si="0"/>
        <v>0</v>
      </c>
      <c r="F29" s="18">
        <v>101800</v>
      </c>
      <c r="G29" s="19"/>
    </row>
    <row r="30" s="1" customFormat="1" ht="20" customHeight="1" spans="1:7">
      <c r="A30" s="15">
        <v>16</v>
      </c>
      <c r="B30" s="25" t="s">
        <v>604</v>
      </c>
      <c r="C30" s="17" t="s">
        <v>514</v>
      </c>
      <c r="D30" s="19">
        <f>VLOOKUP(C30,'[1]2023年'!$C:$D,2,FALSE)</f>
        <v>1300</v>
      </c>
      <c r="E30" s="19">
        <f t="shared" si="0"/>
        <v>0</v>
      </c>
      <c r="F30" s="18">
        <v>1300</v>
      </c>
      <c r="G30" s="19"/>
    </row>
    <row r="31" s="1" customFormat="1" ht="20" customHeight="1" spans="1:7">
      <c r="A31" s="15">
        <v>17</v>
      </c>
      <c r="B31" s="25" t="s">
        <v>587</v>
      </c>
      <c r="C31" s="17" t="s">
        <v>515</v>
      </c>
      <c r="D31" s="19">
        <f>VLOOKUP(C31,'[1]2023年'!$C:$D,2,FALSE)</f>
        <v>4200</v>
      </c>
      <c r="E31" s="19">
        <f t="shared" si="0"/>
        <v>-2500</v>
      </c>
      <c r="F31" s="18">
        <v>1700</v>
      </c>
      <c r="G31" s="19"/>
    </row>
    <row r="32" s="1" customFormat="1" ht="20" customHeight="1" spans="1:7">
      <c r="A32" s="15">
        <v>18</v>
      </c>
      <c r="B32" s="25" t="s">
        <v>605</v>
      </c>
      <c r="C32" s="17" t="s">
        <v>516</v>
      </c>
      <c r="D32" s="19"/>
      <c r="E32" s="19">
        <f t="shared" si="0"/>
        <v>2500</v>
      </c>
      <c r="F32" s="18">
        <v>2500</v>
      </c>
      <c r="G32" s="19"/>
    </row>
    <row r="33" s="1" customFormat="1" ht="20" customHeight="1" spans="1:7">
      <c r="A33" s="15">
        <v>19</v>
      </c>
      <c r="B33" s="25" t="s">
        <v>606</v>
      </c>
      <c r="C33" s="17" t="s">
        <v>517</v>
      </c>
      <c r="D33" s="19">
        <f>VLOOKUP(C33,'[1]2023年'!$C:$D,2,FALSE)</f>
        <v>8100</v>
      </c>
      <c r="E33" s="19">
        <f t="shared" si="0"/>
        <v>-6578</v>
      </c>
      <c r="F33" s="18">
        <v>1522</v>
      </c>
      <c r="G33" s="19" t="s">
        <v>607</v>
      </c>
    </row>
    <row r="34" s="1" customFormat="1" ht="20" customHeight="1" spans="1:7">
      <c r="A34" s="15">
        <v>20</v>
      </c>
      <c r="B34" s="25" t="s">
        <v>588</v>
      </c>
      <c r="C34" s="17" t="s">
        <v>518</v>
      </c>
      <c r="D34" s="19"/>
      <c r="E34" s="19">
        <f t="shared" si="0"/>
        <v>1974</v>
      </c>
      <c r="F34" s="18">
        <v>1974</v>
      </c>
      <c r="G34" s="19"/>
    </row>
    <row r="35" s="1" customFormat="1" ht="20" customHeight="1" spans="1:7">
      <c r="A35" s="15">
        <v>21</v>
      </c>
      <c r="B35" s="25" t="s">
        <v>588</v>
      </c>
      <c r="C35" s="17" t="s">
        <v>519</v>
      </c>
      <c r="D35" s="19"/>
      <c r="E35" s="19">
        <f t="shared" si="0"/>
        <v>1257</v>
      </c>
      <c r="F35" s="18">
        <v>1257</v>
      </c>
      <c r="G35" s="19" t="s">
        <v>608</v>
      </c>
    </row>
    <row r="36" s="1" customFormat="1" ht="20" customHeight="1" spans="1:7">
      <c r="A36" s="15">
        <v>22</v>
      </c>
      <c r="B36" s="25" t="s">
        <v>609</v>
      </c>
      <c r="C36" s="17" t="s">
        <v>520</v>
      </c>
      <c r="D36" s="19">
        <f>VLOOKUP(C36,'[1]2023年'!$C:$D,2,FALSE)</f>
        <v>10560</v>
      </c>
      <c r="E36" s="19">
        <f t="shared" si="0"/>
        <v>-4858</v>
      </c>
      <c r="F36" s="18">
        <v>5702</v>
      </c>
      <c r="G36" s="19" t="s">
        <v>610</v>
      </c>
    </row>
    <row r="37" s="1" customFormat="1" ht="20" customHeight="1" spans="1:7">
      <c r="A37" s="15">
        <v>23</v>
      </c>
      <c r="B37" s="25" t="s">
        <v>588</v>
      </c>
      <c r="C37" s="17" t="s">
        <v>521</v>
      </c>
      <c r="D37" s="19"/>
      <c r="E37" s="19">
        <f t="shared" si="0"/>
        <v>781</v>
      </c>
      <c r="F37" s="18">
        <v>781</v>
      </c>
      <c r="G37" s="19"/>
    </row>
    <row r="38" s="1" customFormat="1" ht="20" customHeight="1" spans="1:7">
      <c r="A38" s="15">
        <v>24</v>
      </c>
      <c r="B38" s="25" t="s">
        <v>588</v>
      </c>
      <c r="C38" s="17" t="s">
        <v>522</v>
      </c>
      <c r="D38" s="19"/>
      <c r="E38" s="19">
        <f t="shared" si="0"/>
        <v>1260</v>
      </c>
      <c r="F38" s="18">
        <v>1260</v>
      </c>
      <c r="G38" s="19" t="s">
        <v>611</v>
      </c>
    </row>
    <row r="39" s="1" customFormat="1" ht="20" customHeight="1" spans="1:7">
      <c r="A39" s="15">
        <v>25</v>
      </c>
      <c r="B39" s="25" t="s">
        <v>588</v>
      </c>
      <c r="C39" s="17" t="s">
        <v>523</v>
      </c>
      <c r="D39" s="19"/>
      <c r="E39" s="19">
        <f t="shared" si="0"/>
        <v>1231</v>
      </c>
      <c r="F39" s="18">
        <v>1231</v>
      </c>
      <c r="G39" s="19" t="s">
        <v>612</v>
      </c>
    </row>
    <row r="40" s="1" customFormat="1" ht="20" customHeight="1" spans="1:7">
      <c r="A40" s="15">
        <v>26</v>
      </c>
      <c r="B40" s="25" t="s">
        <v>588</v>
      </c>
      <c r="C40" s="17" t="s">
        <v>524</v>
      </c>
      <c r="D40" s="19"/>
      <c r="E40" s="19">
        <f t="shared" si="0"/>
        <v>3943</v>
      </c>
      <c r="F40" s="18">
        <v>3943</v>
      </c>
      <c r="G40" s="19" t="s">
        <v>613</v>
      </c>
    </row>
    <row r="41" s="1" customFormat="1" ht="20" customHeight="1" spans="1:7">
      <c r="A41" s="15">
        <v>27</v>
      </c>
      <c r="B41" s="25" t="s">
        <v>587</v>
      </c>
      <c r="C41" s="17" t="s">
        <v>525</v>
      </c>
      <c r="D41" s="19"/>
      <c r="E41" s="19">
        <f t="shared" si="0"/>
        <v>4000</v>
      </c>
      <c r="F41" s="18">
        <v>4000</v>
      </c>
      <c r="G41" s="19" t="s">
        <v>614</v>
      </c>
    </row>
    <row r="42" s="1" customFormat="1" ht="20" customHeight="1" spans="1:7">
      <c r="A42" s="15">
        <v>28</v>
      </c>
      <c r="B42" s="25" t="s">
        <v>615</v>
      </c>
      <c r="C42" s="17" t="s">
        <v>526</v>
      </c>
      <c r="D42" s="19">
        <f>VLOOKUP(C42,'[1]2023年'!$C:$D,2,FALSE)</f>
        <v>10000</v>
      </c>
      <c r="E42" s="19">
        <f t="shared" si="0"/>
        <v>0</v>
      </c>
      <c r="F42" s="18">
        <v>10000</v>
      </c>
      <c r="G42" s="19" t="s">
        <v>616</v>
      </c>
    </row>
    <row r="43" s="1" customFormat="1" ht="20" customHeight="1" spans="1:7">
      <c r="A43" s="15">
        <v>29</v>
      </c>
      <c r="B43" s="25" t="s">
        <v>591</v>
      </c>
      <c r="C43" s="17" t="s">
        <v>527</v>
      </c>
      <c r="D43" s="19">
        <f>VLOOKUP(C43,'[1]2023年'!$C:$D,2,FALSE)</f>
        <v>21000</v>
      </c>
      <c r="E43" s="19">
        <f t="shared" si="0"/>
        <v>-11678</v>
      </c>
      <c r="F43" s="18">
        <v>9322</v>
      </c>
      <c r="G43" s="19"/>
    </row>
    <row r="44" s="1" customFormat="1" ht="20" customHeight="1" spans="1:7">
      <c r="A44" s="15">
        <v>30</v>
      </c>
      <c r="B44" s="25" t="s">
        <v>609</v>
      </c>
      <c r="C44" s="17" t="s">
        <v>528</v>
      </c>
      <c r="D44" s="19"/>
      <c r="E44" s="19">
        <f t="shared" si="0"/>
        <v>5000</v>
      </c>
      <c r="F44" s="18">
        <v>5000</v>
      </c>
      <c r="G44" s="19"/>
    </row>
    <row r="45" s="1" customFormat="1" ht="20" customHeight="1" spans="1:7">
      <c r="A45" s="15">
        <v>31</v>
      </c>
      <c r="B45" s="25" t="s">
        <v>605</v>
      </c>
      <c r="C45" s="17" t="s">
        <v>529</v>
      </c>
      <c r="D45" s="19"/>
      <c r="E45" s="19">
        <f t="shared" si="0"/>
        <v>1745</v>
      </c>
      <c r="F45" s="18">
        <v>1745</v>
      </c>
      <c r="G45" s="19" t="s">
        <v>617</v>
      </c>
    </row>
    <row r="46" s="1" customFormat="1" ht="20" customHeight="1" spans="1:7">
      <c r="A46" s="15">
        <v>32</v>
      </c>
      <c r="B46" s="25" t="s">
        <v>618</v>
      </c>
      <c r="C46" s="17" t="s">
        <v>530</v>
      </c>
      <c r="D46" s="19"/>
      <c r="E46" s="19">
        <f t="shared" si="0"/>
        <v>2500</v>
      </c>
      <c r="F46" s="18">
        <v>2500</v>
      </c>
      <c r="G46" s="19" t="s">
        <v>619</v>
      </c>
    </row>
    <row r="47" s="1" customFormat="1" ht="20" customHeight="1" spans="1:7">
      <c r="A47" s="15">
        <v>33</v>
      </c>
      <c r="B47" s="25" t="s">
        <v>620</v>
      </c>
      <c r="C47" s="17" t="s">
        <v>531</v>
      </c>
      <c r="D47" s="19"/>
      <c r="E47" s="19">
        <f t="shared" si="0"/>
        <v>950</v>
      </c>
      <c r="F47" s="18">
        <v>950</v>
      </c>
      <c r="G47" s="19" t="s">
        <v>621</v>
      </c>
    </row>
    <row r="48" s="1" customFormat="1" ht="20" customHeight="1" spans="1:7">
      <c r="A48" s="15">
        <v>34</v>
      </c>
      <c r="B48" s="25" t="s">
        <v>620</v>
      </c>
      <c r="C48" s="17" t="s">
        <v>532</v>
      </c>
      <c r="D48" s="19"/>
      <c r="E48" s="19">
        <f t="shared" si="0"/>
        <v>1170</v>
      </c>
      <c r="F48" s="18">
        <v>1170</v>
      </c>
      <c r="G48" s="19" t="s">
        <v>622</v>
      </c>
    </row>
    <row r="49" s="1" customFormat="1" ht="20" customHeight="1" spans="1:7">
      <c r="A49" s="15">
        <v>35</v>
      </c>
      <c r="B49" s="25" t="s">
        <v>620</v>
      </c>
      <c r="C49" s="17" t="s">
        <v>533</v>
      </c>
      <c r="D49" s="19"/>
      <c r="E49" s="19">
        <f t="shared" si="0"/>
        <v>401</v>
      </c>
      <c r="F49" s="18">
        <v>401</v>
      </c>
      <c r="G49" s="19" t="s">
        <v>623</v>
      </c>
    </row>
    <row r="50" s="1" customFormat="1" ht="20" customHeight="1" spans="1:7">
      <c r="A50" s="15">
        <v>36</v>
      </c>
      <c r="B50" s="25" t="s">
        <v>624</v>
      </c>
      <c r="C50" s="17" t="s">
        <v>534</v>
      </c>
      <c r="D50" s="19">
        <f>VLOOKUP(C50,'[1]2023年'!$C:$D,2,FALSE)</f>
        <v>2500</v>
      </c>
      <c r="E50" s="19">
        <f t="shared" si="0"/>
        <v>0</v>
      </c>
      <c r="F50" s="18">
        <v>2500</v>
      </c>
      <c r="G50" s="19"/>
    </row>
    <row r="51" s="1" customFormat="1" ht="20" customHeight="1" spans="1:7">
      <c r="A51" s="15">
        <v>37</v>
      </c>
      <c r="B51" s="25" t="s">
        <v>624</v>
      </c>
      <c r="C51" s="17" t="s">
        <v>535</v>
      </c>
      <c r="D51" s="19">
        <f>VLOOKUP(C51,'[1]2023年'!$C:$D,2,FALSE)</f>
        <v>1500</v>
      </c>
      <c r="E51" s="19">
        <f t="shared" si="0"/>
        <v>0</v>
      </c>
      <c r="F51" s="18">
        <v>1500</v>
      </c>
      <c r="G51" s="19"/>
    </row>
    <row r="52" s="1" customFormat="1" ht="20" customHeight="1" spans="1:7">
      <c r="A52" s="15">
        <v>38</v>
      </c>
      <c r="B52" s="25" t="s">
        <v>624</v>
      </c>
      <c r="C52" s="17" t="s">
        <v>536</v>
      </c>
      <c r="D52" s="19">
        <f>VLOOKUP(C52,'[1]2023年'!$C:$D,2,FALSE)</f>
        <v>2500</v>
      </c>
      <c r="E52" s="19">
        <f t="shared" si="0"/>
        <v>0</v>
      </c>
      <c r="F52" s="18">
        <v>2500</v>
      </c>
      <c r="G52" s="19"/>
    </row>
    <row r="53" s="1" customFormat="1" ht="20" customHeight="1" spans="1:7">
      <c r="A53" s="15">
        <v>39</v>
      </c>
      <c r="B53" s="25" t="s">
        <v>625</v>
      </c>
      <c r="C53" s="17" t="s">
        <v>537</v>
      </c>
      <c r="D53" s="19">
        <f>VLOOKUP(C53,'[1]2023年'!$C:$D,2,FALSE)</f>
        <v>8000</v>
      </c>
      <c r="E53" s="19">
        <f t="shared" si="0"/>
        <v>-5929</v>
      </c>
      <c r="F53" s="18">
        <v>2071</v>
      </c>
      <c r="G53" s="19"/>
    </row>
    <row r="54" s="1" customFormat="1" ht="20" customHeight="1" spans="1:7">
      <c r="A54" s="15">
        <v>40</v>
      </c>
      <c r="B54" s="25" t="s">
        <v>586</v>
      </c>
      <c r="C54" s="17" t="s">
        <v>626</v>
      </c>
      <c r="D54" s="19"/>
      <c r="E54" s="19">
        <v>1000</v>
      </c>
      <c r="F54" s="18">
        <v>1000</v>
      </c>
      <c r="G54" s="19" t="s">
        <v>627</v>
      </c>
    </row>
    <row r="55" s="1" customFormat="1" ht="20" customHeight="1" spans="1:7">
      <c r="A55" s="15">
        <v>41</v>
      </c>
      <c r="B55" s="25" t="s">
        <v>586</v>
      </c>
      <c r="C55" s="17" t="s">
        <v>538</v>
      </c>
      <c r="D55" s="19"/>
      <c r="E55" s="19">
        <f t="shared" ref="E55:E72" si="1">F55-D55</f>
        <v>2016</v>
      </c>
      <c r="F55" s="18">
        <v>2016</v>
      </c>
      <c r="G55" s="19" t="s">
        <v>628</v>
      </c>
    </row>
    <row r="56" s="1" customFormat="1" ht="20" customHeight="1" spans="1:7">
      <c r="A56" s="15">
        <v>42</v>
      </c>
      <c r="B56" s="25" t="s">
        <v>586</v>
      </c>
      <c r="C56" s="17" t="s">
        <v>539</v>
      </c>
      <c r="D56" s="19"/>
      <c r="E56" s="19">
        <f t="shared" si="1"/>
        <v>1913</v>
      </c>
      <c r="F56" s="18">
        <v>1913</v>
      </c>
      <c r="G56" s="19" t="s">
        <v>629</v>
      </c>
    </row>
    <row r="57" s="1" customFormat="1" ht="20" customHeight="1" spans="1:7">
      <c r="A57" s="15">
        <v>43</v>
      </c>
      <c r="B57" s="25" t="s">
        <v>586</v>
      </c>
      <c r="C57" s="17" t="s">
        <v>540</v>
      </c>
      <c r="D57" s="19"/>
      <c r="E57" s="19">
        <f t="shared" si="1"/>
        <v>1000</v>
      </c>
      <c r="F57" s="18">
        <v>1000</v>
      </c>
      <c r="G57" s="19" t="s">
        <v>627</v>
      </c>
    </row>
    <row r="58" s="4" customFormat="1" ht="20" customHeight="1" spans="1:7">
      <c r="A58" s="27"/>
      <c r="B58" s="28" t="s">
        <v>630</v>
      </c>
      <c r="C58" s="17"/>
      <c r="D58" s="29">
        <f>SUM(D15:D57)</f>
        <v>205310</v>
      </c>
      <c r="E58" s="29">
        <f>SUM(E15:E57)</f>
        <v>0</v>
      </c>
      <c r="F58" s="29">
        <f>SUM(F15:F57)</f>
        <v>205310</v>
      </c>
      <c r="G58" s="30"/>
    </row>
    <row r="59" s="1" customFormat="1" ht="20" customHeight="1" spans="1:7">
      <c r="A59" s="15">
        <v>44</v>
      </c>
      <c r="B59" s="25" t="s">
        <v>631</v>
      </c>
      <c r="C59" s="17" t="s">
        <v>555</v>
      </c>
      <c r="D59" s="19">
        <f>VLOOKUP(C59,'[1]2023年'!$C:$D,2,FALSE)</f>
        <v>38300</v>
      </c>
      <c r="E59" s="19">
        <f t="shared" si="1"/>
        <v>-27150</v>
      </c>
      <c r="F59" s="18">
        <v>11150</v>
      </c>
      <c r="G59" s="19"/>
    </row>
    <row r="60" s="1" customFormat="1" ht="20" customHeight="1" spans="1:7">
      <c r="A60" s="15">
        <v>45</v>
      </c>
      <c r="B60" s="25" t="s">
        <v>631</v>
      </c>
      <c r="C60" s="17" t="s">
        <v>556</v>
      </c>
      <c r="D60" s="19"/>
      <c r="E60" s="19">
        <f t="shared" si="1"/>
        <v>3900</v>
      </c>
      <c r="F60" s="18">
        <v>3900</v>
      </c>
      <c r="G60" s="19" t="s">
        <v>632</v>
      </c>
    </row>
    <row r="61" s="1" customFormat="1" ht="20" customHeight="1" spans="1:7">
      <c r="A61" s="15">
        <v>46</v>
      </c>
      <c r="B61" s="25" t="s">
        <v>631</v>
      </c>
      <c r="C61" s="17" t="s">
        <v>557</v>
      </c>
      <c r="D61" s="19"/>
      <c r="E61" s="19">
        <f t="shared" si="1"/>
        <v>450</v>
      </c>
      <c r="F61" s="18">
        <v>450</v>
      </c>
      <c r="G61" s="19" t="s">
        <v>633</v>
      </c>
    </row>
    <row r="62" s="1" customFormat="1" ht="20" customHeight="1" spans="1:7">
      <c r="A62" s="15">
        <v>47</v>
      </c>
      <c r="B62" s="25" t="s">
        <v>631</v>
      </c>
      <c r="C62" s="17" t="s">
        <v>558</v>
      </c>
      <c r="D62" s="19"/>
      <c r="E62" s="19">
        <f t="shared" si="1"/>
        <v>10000</v>
      </c>
      <c r="F62" s="18">
        <v>10000</v>
      </c>
      <c r="G62" s="19" t="s">
        <v>634</v>
      </c>
    </row>
    <row r="63" s="1" customFormat="1" ht="20" customHeight="1" spans="1:7">
      <c r="A63" s="15">
        <v>48</v>
      </c>
      <c r="B63" s="25" t="s">
        <v>631</v>
      </c>
      <c r="C63" s="17" t="s">
        <v>559</v>
      </c>
      <c r="D63" s="19"/>
      <c r="E63" s="19">
        <f t="shared" si="1"/>
        <v>5200</v>
      </c>
      <c r="F63" s="18">
        <v>5200</v>
      </c>
      <c r="G63" s="19" t="s">
        <v>635</v>
      </c>
    </row>
    <row r="64" s="1" customFormat="1" ht="20" customHeight="1" spans="1:7">
      <c r="A64" s="15">
        <v>49</v>
      </c>
      <c r="B64" s="25" t="s">
        <v>631</v>
      </c>
      <c r="C64" s="17" t="s">
        <v>560</v>
      </c>
      <c r="D64" s="19">
        <f>VLOOKUP(C64,'[1]2023年'!$C:$D,2,FALSE)</f>
        <v>15300</v>
      </c>
      <c r="E64" s="19">
        <f t="shared" si="1"/>
        <v>-3600</v>
      </c>
      <c r="F64" s="18">
        <v>11700</v>
      </c>
      <c r="G64" s="19"/>
    </row>
    <row r="65" s="1" customFormat="1" ht="20" customHeight="1" spans="1:7">
      <c r="A65" s="15">
        <v>50</v>
      </c>
      <c r="B65" s="25" t="s">
        <v>631</v>
      </c>
      <c r="C65" s="17" t="s">
        <v>561</v>
      </c>
      <c r="D65" s="19"/>
      <c r="E65" s="19">
        <f t="shared" si="1"/>
        <v>3600</v>
      </c>
      <c r="F65" s="18">
        <v>3600</v>
      </c>
      <c r="G65" s="19" t="s">
        <v>636</v>
      </c>
    </row>
    <row r="66" s="1" customFormat="1" ht="20" customHeight="1" spans="1:7">
      <c r="A66" s="15">
        <v>51</v>
      </c>
      <c r="B66" s="25" t="s">
        <v>631</v>
      </c>
      <c r="C66" s="17" t="s">
        <v>562</v>
      </c>
      <c r="D66" s="19">
        <f>VLOOKUP(C66,'[1]2023年'!$C:$D,2,FALSE)</f>
        <v>24300</v>
      </c>
      <c r="E66" s="19">
        <f t="shared" si="1"/>
        <v>-2400</v>
      </c>
      <c r="F66" s="18">
        <v>21900</v>
      </c>
      <c r="G66" s="19"/>
    </row>
    <row r="67" s="1" customFormat="1" ht="20" customHeight="1" spans="1:7">
      <c r="A67" s="15">
        <v>52</v>
      </c>
      <c r="B67" s="25" t="s">
        <v>631</v>
      </c>
      <c r="C67" s="17" t="s">
        <v>563</v>
      </c>
      <c r="D67" s="19"/>
      <c r="E67" s="19">
        <f t="shared" si="1"/>
        <v>10000</v>
      </c>
      <c r="F67" s="18">
        <v>10000</v>
      </c>
      <c r="G67" s="19" t="s">
        <v>637</v>
      </c>
    </row>
    <row r="68" s="1" customFormat="1" ht="20" customHeight="1" spans="1:7">
      <c r="A68" s="15">
        <v>53</v>
      </c>
      <c r="B68" s="25" t="s">
        <v>631</v>
      </c>
      <c r="C68" s="17" t="s">
        <v>564</v>
      </c>
      <c r="D68" s="19">
        <f>VLOOKUP(C68,'[1]2023年'!$C:$D,2,FALSE)</f>
        <v>13000</v>
      </c>
      <c r="E68" s="19">
        <f t="shared" si="1"/>
        <v>0</v>
      </c>
      <c r="F68" s="18">
        <v>13000</v>
      </c>
      <c r="G68" s="19"/>
    </row>
    <row r="69" s="1" customFormat="1" ht="20" customHeight="1" spans="1:7">
      <c r="A69" s="15">
        <v>54</v>
      </c>
      <c r="B69" s="25" t="s">
        <v>631</v>
      </c>
      <c r="C69" s="17" t="s">
        <v>565</v>
      </c>
      <c r="D69" s="19">
        <f>VLOOKUP(C69,'[1]2023年'!$C:$D,2,FALSE)</f>
        <v>3000</v>
      </c>
      <c r="E69" s="19">
        <f t="shared" si="1"/>
        <v>0</v>
      </c>
      <c r="F69" s="18">
        <v>3000</v>
      </c>
      <c r="G69" s="19"/>
    </row>
    <row r="70" s="1" customFormat="1" ht="20" customHeight="1" spans="1:7">
      <c r="A70" s="15">
        <v>55</v>
      </c>
      <c r="B70" s="25" t="s">
        <v>631</v>
      </c>
      <c r="C70" s="17" t="s">
        <v>566</v>
      </c>
      <c r="D70" s="19">
        <f>VLOOKUP(C70,'[1]2023年'!$C:$D,2,FALSE)</f>
        <v>1000</v>
      </c>
      <c r="E70" s="19">
        <f t="shared" si="1"/>
        <v>0</v>
      </c>
      <c r="F70" s="18">
        <v>1000</v>
      </c>
      <c r="G70" s="19"/>
    </row>
    <row r="71" s="1" customFormat="1" ht="20" customHeight="1" spans="1:7">
      <c r="A71" s="15">
        <v>56</v>
      </c>
      <c r="B71" s="25" t="s">
        <v>631</v>
      </c>
      <c r="C71" s="17" t="s">
        <v>567</v>
      </c>
      <c r="D71" s="19">
        <f>VLOOKUP(C71,'[1]2023年'!$C:$D,2,FALSE)</f>
        <v>10000</v>
      </c>
      <c r="E71" s="19">
        <f t="shared" si="1"/>
        <v>0</v>
      </c>
      <c r="F71" s="18">
        <v>10000</v>
      </c>
      <c r="G71" s="19"/>
    </row>
    <row r="72" s="1" customFormat="1" ht="20" customHeight="1" spans="1:7">
      <c r="A72" s="15">
        <v>57</v>
      </c>
      <c r="B72" s="25" t="s">
        <v>631</v>
      </c>
      <c r="C72" s="17" t="s">
        <v>568</v>
      </c>
      <c r="D72" s="19">
        <f>VLOOKUP(C72,'[1]2023年'!$C:$D,2,FALSE)</f>
        <v>3000</v>
      </c>
      <c r="E72" s="19">
        <f t="shared" si="1"/>
        <v>0</v>
      </c>
      <c r="F72" s="18">
        <v>3000</v>
      </c>
      <c r="G72" s="19"/>
    </row>
    <row r="73" s="1" customFormat="1" ht="20" customHeight="1" spans="1:7">
      <c r="A73" s="15"/>
      <c r="B73" s="32" t="s">
        <v>638</v>
      </c>
      <c r="C73" s="17"/>
      <c r="D73" s="29">
        <f>SUM(D59:D72)</f>
        <v>107900</v>
      </c>
      <c r="E73" s="29">
        <f>SUM(E59:E72)</f>
        <v>0</v>
      </c>
      <c r="F73" s="29">
        <f>SUM(F59:F72)</f>
        <v>107900</v>
      </c>
      <c r="G73" s="19"/>
    </row>
    <row r="74" s="3" customFormat="1" ht="20" customHeight="1" spans="1:7">
      <c r="A74" s="20"/>
      <c r="B74" s="20" t="s">
        <v>639</v>
      </c>
      <c r="C74" s="24"/>
      <c r="D74" s="33">
        <f>D58+D73</f>
        <v>313210</v>
      </c>
      <c r="E74" s="33">
        <f>E58+E73</f>
        <v>0</v>
      </c>
      <c r="F74" s="33">
        <f>F58+F73</f>
        <v>313210</v>
      </c>
      <c r="G74" s="24"/>
    </row>
    <row r="75" s="1" customFormat="1" ht="42" customHeight="1" spans="1:1">
      <c r="A75" s="34"/>
    </row>
    <row r="76" s="1" customFormat="1" ht="42" customHeight="1" spans="1:1">
      <c r="A76" s="34"/>
    </row>
  </sheetData>
  <mergeCells count="2">
    <mergeCell ref="A1:G1"/>
    <mergeCell ref="A2:B2"/>
  </mergeCells>
  <pageMargins left="0.751388888888889" right="0.751388888888889" top="1" bottom="1" header="0.5" footer="0.5"/>
  <pageSetup paperSize="9" scale="76" firstPageNumber="29"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附表1收入调整表2023</vt:lpstr>
      <vt:lpstr>附表2财力调整表2023</vt:lpstr>
      <vt:lpstr>附表3公共预算项目调整表</vt:lpstr>
      <vt:lpstr>附表4公共预算支出调整表</vt:lpstr>
      <vt:lpstr>附表5政府性基金项目调整表</vt:lpstr>
      <vt:lpstr>附表6政府性基金支出调整表</vt:lpstr>
      <vt:lpstr>附表72023年地方政府债券资金安排情况表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qyh2015</dc:creator>
  <cp:lastModifiedBy>HS</cp:lastModifiedBy>
  <dcterms:created xsi:type="dcterms:W3CDTF">2016-10-31T06:35:00Z</dcterms:created>
  <cp:lastPrinted>2019-11-25T14:45:00Z</cp:lastPrinted>
  <dcterms:modified xsi:type="dcterms:W3CDTF">2024-02-28T00:51:43Z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2052-11.8.2.11019</vt:lpwstr>
  </property>
  <property fmtid="{D5CDD505-2E9C-101B-9397-08002B2CF9AE}" pid="4" name="ICV">
    <vt:lpwstr>67FCDCF306CB46C38BFE374AB97E9952</vt:lpwstr>
  </property>
</Properties>
</file>