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94"/>
  </bookViews>
  <sheets>
    <sheet name="附表1收入调整表2022" sheetId="14" r:id="rId1"/>
    <sheet name="附表2财力调整表2022" sheetId="13" r:id="rId2"/>
    <sheet name="附表3公共预算支出调整表" sheetId="15" r:id="rId3"/>
    <sheet name="附表4政府性基金支出调整表" sheetId="16" r:id="rId4"/>
  </sheets>
  <definedNames>
    <definedName name="_xlnm._FilterDatabase" localSheetId="1" hidden="1">附表2财力调整表2022!$A$4:$S$81</definedName>
    <definedName name="_xlnm.Print_Titles" localSheetId="0">附表1收入调整表2022!$1:$4</definedName>
    <definedName name="_xlnm.Print_Titles" localSheetId="1">附表2财力调整表2022!$1:$4</definedName>
    <definedName name="_xlnm.Print_Area" localSheetId="0">附表1收入调整表2022!$A$1:$M$64</definedName>
    <definedName name="_xlnm.Print_Area" localSheetId="2">附表3公共预算支出调整表!$A$1:$AF$29</definedName>
    <definedName name="_xlnm.Print_Area" localSheetId="3">附表4政府性基金支出调整表!$A$1:$AF$16</definedName>
  </definedNames>
  <calcPr calcId="144525"/>
</workbook>
</file>

<file path=xl/comments1.xml><?xml version="1.0" encoding="utf-8"?>
<comments xmlns="http://schemas.openxmlformats.org/spreadsheetml/2006/main">
  <authors>
    <author>ih</author>
  </authors>
  <commentList>
    <comment ref="F57" authorId="0">
      <text>
        <r>
          <rPr>
            <b/>
            <sz val="9"/>
            <rFont val="宋体"/>
            <charset val="134"/>
          </rPr>
          <t>ih:</t>
        </r>
        <r>
          <rPr>
            <sz val="9"/>
            <rFont val="宋体"/>
            <charset val="134"/>
          </rPr>
          <t xml:space="preserve">
《关于上划各县（市）区生态环境局相关经费支出基数的通知》（榕财预〔2019〕82号）3514万元</t>
        </r>
      </text>
    </comment>
  </commentList>
</comments>
</file>

<file path=xl/sharedStrings.xml><?xml version="1.0" encoding="utf-8"?>
<sst xmlns="http://schemas.openxmlformats.org/spreadsheetml/2006/main" count="327" uniqueCount="201">
  <si>
    <t>附表1：2022年分部门分税种财政收入预算调整情况表</t>
  </si>
  <si>
    <t>编制单位：闽侯县财政局</t>
  </si>
  <si>
    <t>编制日期：2022年12月</t>
  </si>
  <si>
    <t>单位：万元</t>
  </si>
  <si>
    <t>征收部门</t>
  </si>
  <si>
    <t>2022人大年初任务数</t>
  </si>
  <si>
    <t>2022年预计完成数</t>
  </si>
  <si>
    <t>增减额</t>
  </si>
  <si>
    <t>增幅%</t>
  </si>
  <si>
    <t>小计</t>
  </si>
  <si>
    <t>闽侯县</t>
  </si>
  <si>
    <t>高新区</t>
  </si>
  <si>
    <t>一、财政总收入(含基金)</t>
  </si>
  <si>
    <t>（一）一般公共预算总收入</t>
  </si>
  <si>
    <t xml:space="preserve">  其中：同口径一般公共预算总收入</t>
  </si>
  <si>
    <t>1、上划中央收入</t>
  </si>
  <si>
    <t>2、一般公共预算收入</t>
  </si>
  <si>
    <t xml:space="preserve">  其中：同口径一般公共预算收入</t>
  </si>
  <si>
    <t>（1）税收收入</t>
  </si>
  <si>
    <t>（2）非税收入</t>
  </si>
  <si>
    <t>（二）基金收入</t>
  </si>
  <si>
    <t>二、税务局组织收入</t>
  </si>
  <si>
    <t>（一）增值税</t>
  </si>
  <si>
    <t>其中：国内增值税</t>
  </si>
  <si>
    <t xml:space="preserve">      增值税留抵退税</t>
  </si>
  <si>
    <t xml:space="preserve">      东南汽车</t>
  </si>
  <si>
    <t xml:space="preserve">      奔驰汽车</t>
  </si>
  <si>
    <t>（二）消费税</t>
  </si>
  <si>
    <t>（四）企业所得税</t>
  </si>
  <si>
    <t>（五）个人所得税</t>
  </si>
  <si>
    <t>（六）资源税</t>
  </si>
  <si>
    <t>（七）城市维护建设税</t>
  </si>
  <si>
    <t>（八）房产税</t>
  </si>
  <si>
    <t>（九）印花税</t>
  </si>
  <si>
    <t>（十）城镇土地使用税</t>
  </si>
  <si>
    <t>（十一）土地增值税</t>
  </si>
  <si>
    <t>（十二）车船税</t>
  </si>
  <si>
    <t>（十三）耕地占用税</t>
  </si>
  <si>
    <t>（十四）契税</t>
  </si>
  <si>
    <t>(十五）环境保护税</t>
  </si>
  <si>
    <t>（十六）车辆购置税</t>
  </si>
  <si>
    <t>三、财政局组织收入</t>
  </si>
  <si>
    <t>（一）行政性事业性收费收入</t>
  </si>
  <si>
    <t>（二）罚没收入</t>
  </si>
  <si>
    <t>（三）专项收入</t>
  </si>
  <si>
    <t xml:space="preserve"> 其中： 教育费附加收入</t>
  </si>
  <si>
    <t xml:space="preserve">      残疾人就业保障金收入</t>
  </si>
  <si>
    <t xml:space="preserve">     教育资金收入</t>
  </si>
  <si>
    <t xml:space="preserve">     农田水利建设资金收入</t>
  </si>
  <si>
    <t xml:space="preserve">     森林植被恢复费收入</t>
  </si>
  <si>
    <t xml:space="preserve">     水利建设专项收入</t>
  </si>
  <si>
    <t xml:space="preserve">    其他专项收入</t>
  </si>
  <si>
    <t>（四）国有资本经营收入</t>
  </si>
  <si>
    <t>（五）国有资源（资产）有偿使用收入</t>
  </si>
  <si>
    <t xml:space="preserve"> (六) 捐赠收入</t>
  </si>
  <si>
    <t xml:space="preserve"> (七） 政府住房基金收入</t>
  </si>
  <si>
    <t>（八）其他收入</t>
  </si>
  <si>
    <t>四、其它增值税退税</t>
  </si>
  <si>
    <t>五、基金收入</t>
  </si>
  <si>
    <t>（一）土地基金收入</t>
  </si>
  <si>
    <t xml:space="preserve">    1、国有土地使用权出让收入</t>
  </si>
  <si>
    <t xml:space="preserve">    2、国有土地基金收益收入</t>
  </si>
  <si>
    <t xml:space="preserve">    3、农业土地开发资金收入</t>
  </si>
  <si>
    <t>（二）其他基金收入</t>
  </si>
  <si>
    <t xml:space="preserve">    1、城市基础设施配套费收入</t>
  </si>
  <si>
    <t xml:space="preserve">    2、彩票公益金收入</t>
  </si>
  <si>
    <t xml:space="preserve">   3、污水处理费收入</t>
  </si>
  <si>
    <t xml:space="preserve">    4、污水处理费收入</t>
  </si>
  <si>
    <t>附表2：2022年一般公共预算财力情况调整表</t>
  </si>
  <si>
    <t xml:space="preserve">编制单位：闽侯县财政局   </t>
  </si>
  <si>
    <t>项目</t>
  </si>
  <si>
    <t>2022年计划数</t>
  </si>
  <si>
    <t>比年初计划增减数</t>
  </si>
  <si>
    <t>预计增长率</t>
  </si>
  <si>
    <t>财力性质</t>
  </si>
  <si>
    <t>一、一般公共预算收入</t>
  </si>
  <si>
    <t>二、上级补助收入</t>
  </si>
  <si>
    <t>（一）返还性收入</t>
  </si>
  <si>
    <t xml:space="preserve">   1、增值税和消费税税收返还收入</t>
  </si>
  <si>
    <t>财力</t>
  </si>
  <si>
    <t xml:space="preserve">   2、所得税基数返还收入</t>
  </si>
  <si>
    <t xml:space="preserve">   3、成品油价格和税费改革税收返还收入</t>
  </si>
  <si>
    <t xml:space="preserve">   4、增值税“五五分享”税收返还</t>
  </si>
  <si>
    <t>（二）一般性转移支付补助收入</t>
  </si>
  <si>
    <t>1、体制补助收入</t>
  </si>
  <si>
    <t>专项</t>
  </si>
  <si>
    <t>2、均衡性转移支付收入</t>
  </si>
  <si>
    <t xml:space="preserve"> （1）调整工资转移支付收入</t>
  </si>
  <si>
    <t xml:space="preserve"> （2）县乡中小学教师津补贴转移支付</t>
  </si>
  <si>
    <t xml:space="preserve"> （3）机关事业单位调整工资和养老保险制度改革转移支付资金</t>
  </si>
  <si>
    <t xml:space="preserve"> （4）农业转移人口市民化奖励资金</t>
  </si>
  <si>
    <t>3、县级基本财力保障机制奖补资金收入</t>
  </si>
  <si>
    <t xml:space="preserve"> （1）原“六挂六奖”补助基数（闽财预［2014］40号）</t>
  </si>
  <si>
    <t xml:space="preserve"> （2）省对市县财政下移财力及加强绩效管理奖励</t>
  </si>
  <si>
    <t>4、结算补助收入</t>
  </si>
  <si>
    <t xml:space="preserve"> （1）县（市）烟草公司收入转移补助</t>
  </si>
  <si>
    <t xml:space="preserve"> （2）公共体育场馆、博物馆、纪念馆等免费开放补助资金</t>
  </si>
  <si>
    <t xml:space="preserve"> （3）提高村主干及两委成员报酬市级补助</t>
  </si>
  <si>
    <t xml:space="preserve"> （4）生态保护转移支付资金(榕财预指201910号)</t>
  </si>
  <si>
    <t xml:space="preserve"> （5）村干部基本报酬保障奖励资金</t>
  </si>
  <si>
    <t xml:space="preserve"> （6）其他结算补助转移支付资金</t>
  </si>
  <si>
    <t>5、革命老区及民族和边境地区转移支付</t>
  </si>
  <si>
    <t>6.贫困地区转移支付收入</t>
  </si>
  <si>
    <t>7、一般公共服务共同财政事权转移支付收入</t>
  </si>
  <si>
    <t>8、公共安全共同财政事权转移支付收入</t>
  </si>
  <si>
    <t>9、教育共同财政事权转移支付收入</t>
  </si>
  <si>
    <t>10、科学技术共同财政事权转移支付收入</t>
  </si>
  <si>
    <t>11、文化旅游体育与传媒共同财政事权转移支付收入</t>
  </si>
  <si>
    <t>12、社会保障和就业共同财政事权转移支付收入</t>
  </si>
  <si>
    <t>13、卫生健康共同财政事权转移支付收入</t>
  </si>
  <si>
    <t>14、节能环保共同财政事权转移支付收入</t>
  </si>
  <si>
    <t>15、农林水共同财政事权转移支付收入</t>
  </si>
  <si>
    <t>16、交通运输共同财政事权转移支付收入</t>
  </si>
  <si>
    <t>17、自然资源海洋气象等共同财政事权转移支付收入</t>
  </si>
  <si>
    <t>18、住房保障共同财政事权转移支付收入（榕财建指[2022]70号收回-19000万元）</t>
  </si>
  <si>
    <t>19、粮油物资储备共同财政事权转移支付收入</t>
  </si>
  <si>
    <t>20、增值税留抵退税转移支付收入（闽财预指〔2022〕5号、闽财预指〔2022〕17号）</t>
  </si>
  <si>
    <t>21、其他退税减税降费转移支付收入（闽财预指〔2022〕5号、闽财预指〔2022〕9号）</t>
  </si>
  <si>
    <t>22、补充县区转移支付收入（闽财预指〔2022〕9号）</t>
  </si>
  <si>
    <t>23、其他一般性转移支付收入</t>
  </si>
  <si>
    <t xml:space="preserve">      村级组织运转经费</t>
  </si>
  <si>
    <t xml:space="preserve">      生猪调出大县奖励资金</t>
  </si>
  <si>
    <t xml:space="preserve">      农村公益电影场次补贴</t>
  </si>
  <si>
    <t xml:space="preserve">      社区居委会运转补助</t>
  </si>
  <si>
    <t xml:space="preserve">      农村税费改革转移支付</t>
  </si>
  <si>
    <t xml:space="preserve">      国有农场农村税费改革转移支付</t>
  </si>
  <si>
    <t xml:space="preserve">      农村“五大员”、计生协会长、妇代会主任、团支部书记津贴转移支付</t>
  </si>
  <si>
    <t xml:space="preserve">      其他一般性转移支付收入</t>
  </si>
  <si>
    <t>三、上解省市支出</t>
  </si>
  <si>
    <t>（一）体制上解</t>
  </si>
  <si>
    <t>（二）专项上解</t>
  </si>
  <si>
    <t>(1)上解津补贴调节基金</t>
  </si>
  <si>
    <t>(2)上缴就业调剂金(闽财社〔2021〕14号)</t>
  </si>
  <si>
    <t>(3)重点流域水环境综合整治资金专项上解</t>
  </si>
  <si>
    <t>(4)江河下游对上游地区森林生态效益补偿上解</t>
  </si>
  <si>
    <t>(5)中央、省财政统筹计提农田水利建设资金</t>
  </si>
  <si>
    <t>(6)福州市对口援藏资金（榕财建 2022 137号）</t>
  </si>
  <si>
    <t>(7)上解精准扶贫医疗叠加保险资金</t>
  </si>
  <si>
    <t>(8)福州市对口援疆资金（榕财建2022 142号）</t>
  </si>
  <si>
    <t>(9)农村商信用社企业所得税省级分成部分上解（20%）</t>
  </si>
  <si>
    <t>（10）东南汽车增值税50%地方级部份上解（省37.573%，市8.192%，合计45.765%）</t>
  </si>
  <si>
    <t>（11）政法经费保障体制改革专项上解</t>
  </si>
  <si>
    <t>（12）城市商业银行企业所得税省级分成部分上解</t>
  </si>
  <si>
    <t>（13）上划国防领域相关支出预算（闽财政法【2021】14号）</t>
  </si>
  <si>
    <t>（14）迁入企业税收基数划转</t>
  </si>
  <si>
    <t>（15）税务部门经费基数划转</t>
  </si>
  <si>
    <t>（16）城乡居民基本医疗保险</t>
  </si>
  <si>
    <t>（17）闽江师专办学经费</t>
  </si>
  <si>
    <t>四、债务还本支出</t>
  </si>
  <si>
    <t>五、援助宁夏支出</t>
  </si>
  <si>
    <t>六、调入国有资本预算资金</t>
  </si>
  <si>
    <t>七、动用预算稳定调节基金</t>
  </si>
  <si>
    <t>八、地方政府债券转贷收入及再融资债券</t>
  </si>
  <si>
    <t>九、当年实现财力</t>
  </si>
  <si>
    <t>附表3：2022年公共财政预算支出调整情况表</t>
  </si>
  <si>
    <t>类编码</t>
  </si>
  <si>
    <t>类科目</t>
  </si>
  <si>
    <t>年初         预算数</t>
  </si>
  <si>
    <t>其中</t>
  </si>
  <si>
    <t>转移支付计入财力调整</t>
  </si>
  <si>
    <t>动用        预备费</t>
  </si>
  <si>
    <t>超短收安排</t>
  </si>
  <si>
    <t>调入基金</t>
  </si>
  <si>
    <t>调入稳定调节基金</t>
  </si>
  <si>
    <t>地方政府债券转贷资金</t>
  </si>
  <si>
    <t>外债转贷资金</t>
  </si>
  <si>
    <t>科目调剂</t>
  </si>
  <si>
    <t>调整后   支出数</t>
  </si>
  <si>
    <t>一般公共服务</t>
  </si>
  <si>
    <t>国防</t>
  </si>
  <si>
    <t>公共安全</t>
  </si>
  <si>
    <t>教育</t>
  </si>
  <si>
    <t>科学技术</t>
  </si>
  <si>
    <t>文化体育与传媒</t>
  </si>
  <si>
    <t>社会保障和就业</t>
  </si>
  <si>
    <t>医疗卫生与计划生育事务</t>
  </si>
  <si>
    <t>节能环保</t>
  </si>
  <si>
    <t>城乡社区事务</t>
  </si>
  <si>
    <t>农林水事务</t>
  </si>
  <si>
    <t>交通运输</t>
  </si>
  <si>
    <t>资源勘探信息等</t>
  </si>
  <si>
    <t>商业服务业等</t>
  </si>
  <si>
    <t>金融支出</t>
  </si>
  <si>
    <t>援助其他地区</t>
  </si>
  <si>
    <t>自然资源海洋气象等</t>
  </si>
  <si>
    <t>住房保障</t>
  </si>
  <si>
    <t>粮油物资储备</t>
  </si>
  <si>
    <t>灾害防治及应急管理</t>
  </si>
  <si>
    <t>预备费</t>
  </si>
  <si>
    <t>其他支出</t>
  </si>
  <si>
    <t>债务付息</t>
  </si>
  <si>
    <t>债务发行费用</t>
  </si>
  <si>
    <t>合   计</t>
  </si>
  <si>
    <t>附表4：2022年政府性基金预算支出调整情况表</t>
  </si>
  <si>
    <t>动用上年结余</t>
  </si>
  <si>
    <t>调出基金</t>
  </si>
  <si>
    <t>上解支出</t>
  </si>
  <si>
    <t>社会保障和就业支出</t>
  </si>
  <si>
    <t>资源勘探信息等支出</t>
  </si>
  <si>
    <t>债务付息支出</t>
  </si>
  <si>
    <t>债务发行费用支出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</si>
</sst>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0.00_ "/>
    <numFmt numFmtId="178" formatCode="#,##0.00_);[Red]\(#,##0.00\)"/>
    <numFmt numFmtId="179" formatCode="0_ "/>
  </numFmts>
  <fonts count="43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22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b/>
      <sz val="14"/>
      <name val="仿宋"/>
      <charset val="134"/>
    </font>
    <font>
      <sz val="10"/>
      <name val="仿宋"/>
      <charset val="134"/>
    </font>
    <font>
      <sz val="14"/>
      <name val="仿宋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indexed="8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indexed="9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u/>
      <sz val="11"/>
      <color indexed="12"/>
      <name val="宋体"/>
      <charset val="134"/>
    </font>
    <font>
      <b/>
      <sz val="18"/>
      <color indexed="62"/>
      <name val="宋体"/>
      <charset val="134"/>
    </font>
    <font>
      <b/>
      <sz val="12"/>
      <color indexed="8"/>
      <name val="宋体"/>
      <charset val="134"/>
    </font>
    <font>
      <sz val="11"/>
      <color indexed="17"/>
      <name val="宋体"/>
      <charset val="134"/>
    </font>
    <font>
      <u/>
      <sz val="11"/>
      <color indexed="3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0" fillId="11" borderId="14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/>
    <xf numFmtId="0" fontId="25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/>
    <xf numFmtId="0" fontId="21" fillId="0" borderId="16" applyNumberFormat="0" applyFill="0" applyAlignment="0" applyProtection="0">
      <alignment vertical="center"/>
    </xf>
    <xf numFmtId="0" fontId="18" fillId="15" borderId="0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0" fontId="27" fillId="17" borderId="17" applyNumberFormat="0" applyAlignment="0" applyProtection="0">
      <alignment vertical="center"/>
    </xf>
    <xf numFmtId="0" fontId="28" fillId="17" borderId="13" applyNumberFormat="0" applyAlignment="0" applyProtection="0">
      <alignment vertical="center"/>
    </xf>
    <xf numFmtId="0" fontId="29" fillId="18" borderId="18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4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15" fillId="4" borderId="0" applyNumberFormat="0" applyBorder="0" applyAlignment="0" applyProtection="0"/>
    <xf numFmtId="0" fontId="4" fillId="0" borderId="0"/>
    <xf numFmtId="0" fontId="18" fillId="30" borderId="0" applyNumberFormat="0" applyBorder="0" applyAlignment="0" applyProtection="0"/>
    <xf numFmtId="0" fontId="19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/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8" fillId="15" borderId="0" applyNumberFormat="0" applyBorder="0" applyAlignment="0" applyProtection="0"/>
    <xf numFmtId="0" fontId="19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8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8" fillId="30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18" fillId="41" borderId="0" applyNumberFormat="0" applyBorder="0" applyAlignment="0" applyProtection="0"/>
    <xf numFmtId="0" fontId="15" fillId="5" borderId="0" applyNumberFormat="0" applyBorder="0" applyAlignment="0" applyProtection="0"/>
    <xf numFmtId="0" fontId="18" fillId="8" borderId="0" applyNumberFormat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8" borderId="0" applyNumberFormat="0" applyBorder="0" applyAlignment="0" applyProtection="0"/>
    <xf numFmtId="0" fontId="18" fillId="4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5" fillId="44" borderId="0" applyNumberFormat="0" applyBorder="0" applyAlignment="0" applyProtection="0"/>
    <xf numFmtId="0" fontId="15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4" fillId="0" borderId="0"/>
    <xf numFmtId="0" fontId="38" fillId="46" borderId="0" applyNumberFormat="0" applyBorder="0" applyAlignment="0" applyProtection="0"/>
    <xf numFmtId="0" fontId="4" fillId="0" borderId="0"/>
    <xf numFmtId="0" fontId="38" fillId="46" borderId="0" applyNumberFormat="0" applyBorder="0" applyAlignment="0" applyProtection="0"/>
    <xf numFmtId="0" fontId="4" fillId="0" borderId="0"/>
    <xf numFmtId="0" fontId="4" fillId="0" borderId="0"/>
    <xf numFmtId="0" fontId="0" fillId="0" borderId="0">
      <alignment vertical="center"/>
    </xf>
    <xf numFmtId="0" fontId="34" fillId="0" borderId="0">
      <alignment vertical="center"/>
    </xf>
    <xf numFmtId="0" fontId="4" fillId="0" borderId="0"/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4" fillId="0" borderId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4" fillId="0" borderId="0"/>
  </cellStyleXfs>
  <cellXfs count="10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57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11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76" fontId="8" fillId="0" borderId="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9" fillId="0" borderId="2" xfId="0" applyNumberFormat="1" applyFont="1" applyFill="1" applyBorder="1" applyAlignment="1">
      <alignment horizontal="center" vertical="center"/>
    </xf>
    <xf numFmtId="176" fontId="9" fillId="0" borderId="2" xfId="112" applyNumberFormat="1" applyFont="1" applyFill="1" applyBorder="1" applyAlignment="1">
      <alignment horizontal="center" vertical="center" wrapText="1"/>
    </xf>
    <xf numFmtId="0" fontId="9" fillId="0" borderId="2" xfId="112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176" fontId="8" fillId="0" borderId="2" xfId="118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/>
      <protection locked="0"/>
    </xf>
    <xf numFmtId="31" fontId="6" fillId="0" borderId="1" xfId="0" applyNumberFormat="1" applyFont="1" applyFill="1" applyBorder="1" applyAlignment="1">
      <alignment horizontal="left" wrapText="1"/>
    </xf>
    <xf numFmtId="31" fontId="6" fillId="0" borderId="1" xfId="0" applyNumberFormat="1" applyFont="1" applyFill="1" applyBorder="1" applyAlignment="1">
      <alignment wrapText="1"/>
    </xf>
    <xf numFmtId="31" fontId="6" fillId="0" borderId="1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178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178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176" fontId="7" fillId="0" borderId="2" xfId="0" applyNumberFormat="1" applyFont="1" applyFill="1" applyBorder="1" applyAlignment="1" applyProtection="1">
      <alignment horizontal="center" vertical="center"/>
    </xf>
    <xf numFmtId="176" fontId="7" fillId="0" borderId="5" xfId="0" applyNumberFormat="1" applyFont="1" applyFill="1" applyBorder="1" applyAlignment="1" applyProtection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177" fontId="6" fillId="0" borderId="0" xfId="0" applyNumberFormat="1" applyFont="1" applyFill="1" applyBorder="1" applyAlignment="1">
      <alignment horizontal="right" wrapText="1"/>
    </xf>
    <xf numFmtId="177" fontId="6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177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2" xfId="0" applyNumberFormat="1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79" fontId="7" fillId="0" borderId="2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177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2" fillId="0" borderId="0" xfId="112" applyFont="1" applyFill="1" applyBorder="1" applyAlignment="1">
      <alignment horizontal="center" vertical="center"/>
    </xf>
    <xf numFmtId="31" fontId="1" fillId="0" borderId="0" xfId="112" applyNumberFormat="1" applyFont="1" applyFill="1" applyAlignment="1">
      <alignment horizontal="left" vertical="center" wrapText="1"/>
    </xf>
    <xf numFmtId="179" fontId="1" fillId="0" borderId="0" xfId="112" applyNumberFormat="1" applyFont="1" applyFill="1" applyBorder="1" applyAlignment="1">
      <alignment horizontal="center" vertical="center"/>
    </xf>
    <xf numFmtId="179" fontId="1" fillId="0" borderId="1" xfId="112" applyNumberFormat="1" applyFont="1" applyFill="1" applyBorder="1" applyAlignment="1">
      <alignment horizontal="center" vertical="center"/>
    </xf>
    <xf numFmtId="10" fontId="1" fillId="0" borderId="1" xfId="112" applyNumberFormat="1" applyFont="1" applyFill="1" applyBorder="1" applyAlignment="1">
      <alignment horizontal="right" vertical="center"/>
    </xf>
    <xf numFmtId="0" fontId="6" fillId="0" borderId="4" xfId="112" applyFont="1" applyFill="1" applyBorder="1" applyAlignment="1">
      <alignment horizontal="center" vertical="center" wrapText="1"/>
    </xf>
    <xf numFmtId="0" fontId="6" fillId="0" borderId="10" xfId="112" applyFont="1" applyFill="1" applyBorder="1" applyAlignment="1">
      <alignment horizontal="center" vertical="center" wrapText="1"/>
    </xf>
    <xf numFmtId="0" fontId="6" fillId="0" borderId="11" xfId="112" applyFont="1" applyFill="1" applyBorder="1" applyAlignment="1">
      <alignment horizontal="center" vertical="center" wrapText="1"/>
    </xf>
    <xf numFmtId="0" fontId="6" fillId="0" borderId="12" xfId="112" applyFont="1" applyFill="1" applyBorder="1" applyAlignment="1">
      <alignment horizontal="center" vertical="center" wrapText="1"/>
    </xf>
    <xf numFmtId="0" fontId="6" fillId="0" borderId="6" xfId="112" applyFont="1" applyFill="1" applyBorder="1" applyAlignment="1">
      <alignment horizontal="center" vertical="center" wrapText="1"/>
    </xf>
    <xf numFmtId="0" fontId="6" fillId="0" borderId="7" xfId="112" applyFont="1" applyFill="1" applyBorder="1" applyAlignment="1">
      <alignment horizontal="center" vertical="center" wrapText="1"/>
    </xf>
    <xf numFmtId="0" fontId="6" fillId="0" borderId="8" xfId="112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112" applyFont="1" applyFill="1" applyBorder="1" applyAlignment="1">
      <alignment horizontal="center" vertical="center" wrapText="1"/>
    </xf>
    <xf numFmtId="0" fontId="2" fillId="0" borderId="2" xfId="112" applyFont="1" applyFill="1" applyBorder="1" applyAlignment="1">
      <alignment vertical="center" wrapText="1"/>
    </xf>
    <xf numFmtId="176" fontId="2" fillId="0" borderId="2" xfId="112" applyNumberFormat="1" applyFont="1" applyFill="1" applyBorder="1" applyAlignment="1">
      <alignment horizontal="center" vertical="center"/>
    </xf>
    <xf numFmtId="0" fontId="2" fillId="0" borderId="2" xfId="112" applyFont="1" applyFill="1" applyBorder="1" applyAlignment="1">
      <alignment horizontal="left" vertical="center" wrapText="1"/>
    </xf>
    <xf numFmtId="0" fontId="1" fillId="0" borderId="2" xfId="112" applyFont="1" applyFill="1" applyBorder="1" applyAlignment="1">
      <alignment vertical="center" wrapText="1"/>
    </xf>
    <xf numFmtId="176" fontId="1" fillId="0" borderId="2" xfId="112" applyNumberFormat="1" applyFont="1" applyFill="1" applyBorder="1" applyAlignment="1">
      <alignment horizontal="center" vertical="center"/>
    </xf>
    <xf numFmtId="0" fontId="1" fillId="0" borderId="2" xfId="112" applyFont="1" applyFill="1" applyBorder="1" applyAlignment="1">
      <alignment horizontal="left" vertical="center" wrapText="1"/>
    </xf>
    <xf numFmtId="179" fontId="4" fillId="0" borderId="2" xfId="112" applyNumberFormat="1" applyFont="1" applyFill="1" applyBorder="1" applyAlignment="1">
      <alignment horizontal="center" vertical="center"/>
    </xf>
    <xf numFmtId="176" fontId="4" fillId="0" borderId="2" xfId="112" applyNumberFormat="1" applyFont="1" applyFill="1" applyBorder="1" applyAlignment="1">
      <alignment horizontal="center" vertical="center"/>
    </xf>
    <xf numFmtId="177" fontId="12" fillId="0" borderId="0" xfId="112" applyNumberFormat="1" applyFont="1" applyFill="1" applyBorder="1" applyAlignment="1">
      <alignment horizontal="center" vertical="center"/>
    </xf>
    <xf numFmtId="177" fontId="1" fillId="0" borderId="1" xfId="112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177" fontId="6" fillId="0" borderId="2" xfId="112" applyNumberFormat="1" applyFont="1" applyFill="1" applyBorder="1" applyAlignment="1">
      <alignment horizontal="center" vertical="center" wrapText="1"/>
    </xf>
    <xf numFmtId="177" fontId="2" fillId="0" borderId="2" xfId="112" applyNumberFormat="1" applyFont="1" applyFill="1" applyBorder="1" applyAlignment="1">
      <alignment horizontal="center" vertical="center"/>
    </xf>
    <xf numFmtId="177" fontId="1" fillId="0" borderId="2" xfId="112" applyNumberFormat="1" applyFont="1" applyFill="1" applyBorder="1" applyAlignment="1">
      <alignment horizontal="center" vertical="center"/>
    </xf>
    <xf numFmtId="10" fontId="1" fillId="0" borderId="0" xfId="14" applyNumberFormat="1" applyFont="1" applyFill="1" applyBorder="1" applyAlignment="1">
      <alignment vertical="center"/>
    </xf>
  </cellXfs>
  <cellStyles count="13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Accent2 - 40%" xfId="6"/>
    <cellStyle name="Accent2 - 20% 2" xfId="7"/>
    <cellStyle name="40% - 强调文字颜色 3" xfId="8" builtinId="39"/>
    <cellStyle name="差" xfId="9" builtinId="27"/>
    <cellStyle name="千位分隔" xfId="10" builtinId="3"/>
    <cellStyle name="超链接" xfId="11" builtinId="8"/>
    <cellStyle name="Accent2 - 60%" xfId="12"/>
    <cellStyle name="60% - 强调文字颜色 3" xfId="13" builtinId="40"/>
    <cellStyle name="百分比" xfId="14" builtinId="5"/>
    <cellStyle name="Accent1 - 40% 2" xfId="15"/>
    <cellStyle name="已访问的超链接" xfId="16" builtinId="9"/>
    <cellStyle name="注释" xfId="17" builtinId="10"/>
    <cellStyle name="60% - 强调文字颜色 2" xfId="18" builtinId="36"/>
    <cellStyle name="Accent6 3" xfId="19"/>
    <cellStyle name="标题 4" xfId="20" builtinId="19"/>
    <cellStyle name="警告文本" xfId="21" builtinId="11"/>
    <cellStyle name="标题" xfId="22" builtinId="15"/>
    <cellStyle name="解释性文本" xfId="23" builtinId="53"/>
    <cellStyle name="常规_2019年项目调整表最新2019.11.21修改 2" xfId="24"/>
    <cellStyle name="标题 1" xfId="25" builtinId="16"/>
    <cellStyle name="标题 2" xfId="26" builtinId="17"/>
    <cellStyle name="60% - 强调文字颜色 1" xfId="27" builtinId="32"/>
    <cellStyle name="Accent6 2" xfId="28"/>
    <cellStyle name="标题 3" xfId="29" builtinId="18"/>
    <cellStyle name="Accent1 2" xfId="30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常规_2018年预算调整表12.24(不得以修改报闽侯上会定稿)_2019年项目调整表最新2019.11.7（基金修改） 2" xfId="47"/>
    <cellStyle name="强调文字颜色 3" xfId="48" builtinId="37"/>
    <cellStyle name="Accent2 - 40% 2" xfId="49"/>
    <cellStyle name="常规_2019年项目调整表最新2019.11.21修改" xfId="50"/>
    <cellStyle name="Accent1 - 60% 2" xfId="51"/>
    <cellStyle name="强调文字颜色 4" xfId="52" builtinId="41"/>
    <cellStyle name="Accent1 - 20% 2" xfId="53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Accent1 3" xfId="58"/>
    <cellStyle name="60% - 强调文字颜色 5" xfId="59" builtinId="48"/>
    <cellStyle name="强调文字颜色 6" xfId="60" builtinId="49"/>
    <cellStyle name="40% - 强调文字颜色 6" xfId="61" builtinId="51"/>
    <cellStyle name="60% - 强调文字颜色 6" xfId="62" builtinId="52"/>
    <cellStyle name="Accent1" xfId="63"/>
    <cellStyle name="Accent1 - 20%" xfId="64"/>
    <cellStyle name="Accent1 - 40%" xfId="65"/>
    <cellStyle name="Accent1 - 60%" xfId="66"/>
    <cellStyle name="差_2019年项目调整表最新2019.11.21修改1" xfId="67"/>
    <cellStyle name="Accent2" xfId="68"/>
    <cellStyle name="Accent2 - 20%" xfId="69"/>
    <cellStyle name="Accent2 - 60% 2" xfId="70"/>
    <cellStyle name="超链接 2" xfId="71"/>
    <cellStyle name="Accent2 2" xfId="72"/>
    <cellStyle name="Accent2 3" xfId="73"/>
    <cellStyle name="Accent3" xfId="74"/>
    <cellStyle name="Accent5 2" xfId="75"/>
    <cellStyle name="Accent3 - 20%" xfId="76"/>
    <cellStyle name="Accent3 - 20% 2" xfId="77"/>
    <cellStyle name="Accent3 - 40%" xfId="78"/>
    <cellStyle name="Accent3 - 40% 2" xfId="79"/>
    <cellStyle name="Accent3 - 60%" xfId="80"/>
    <cellStyle name="Accent3 - 60% 2" xfId="81"/>
    <cellStyle name="Accent3 2" xfId="82"/>
    <cellStyle name="Accent3 3" xfId="83"/>
    <cellStyle name="Accent4" xfId="84"/>
    <cellStyle name="Accent4 - 20%" xfId="85"/>
    <cellStyle name="Accent4 - 20% 2" xfId="86"/>
    <cellStyle name="Accent4 - 40%" xfId="87"/>
    <cellStyle name="Accent6 - 40%" xfId="88"/>
    <cellStyle name="Accent4 - 40% 2" xfId="89"/>
    <cellStyle name="Accent4 - 60%" xfId="90"/>
    <cellStyle name="Accent4 - 60% 2" xfId="91"/>
    <cellStyle name="Accent6" xfId="92"/>
    <cellStyle name="Accent4 2" xfId="93"/>
    <cellStyle name="Accent4 3" xfId="94"/>
    <cellStyle name="Accent5" xfId="95"/>
    <cellStyle name="Accent5 - 20%" xfId="96"/>
    <cellStyle name="Accent5 - 20% 2" xfId="97"/>
    <cellStyle name="Accent5 - 40%" xfId="98"/>
    <cellStyle name="Accent5 - 40% 2" xfId="99"/>
    <cellStyle name="Accent5 - 60%" xfId="100"/>
    <cellStyle name="Accent5 - 60% 2" xfId="101"/>
    <cellStyle name="Accent5 3" xfId="102"/>
    <cellStyle name="Accent6 - 20%" xfId="103"/>
    <cellStyle name="Accent6 - 20% 2" xfId="104"/>
    <cellStyle name="Accent6 - 40% 2" xfId="105"/>
    <cellStyle name="Accent6 - 60%" xfId="106"/>
    <cellStyle name="Accent6 - 60% 2" xfId="107"/>
    <cellStyle name="表标题" xfId="108"/>
    <cellStyle name="表标题 2" xfId="109"/>
    <cellStyle name="差_2019年项目调整表最新2019.11.21李晓成" xfId="110"/>
    <cellStyle name="差_2019年项目调整表最新2019.11.21修改" xfId="111"/>
    <cellStyle name="常规 2" xfId="112"/>
    <cellStyle name="强调 3" xfId="113"/>
    <cellStyle name="常规 2 2" xfId="114"/>
    <cellStyle name="强调 3 2" xfId="115"/>
    <cellStyle name="常规 2 2 2" xfId="116"/>
    <cellStyle name="常规 2 3" xfId="117"/>
    <cellStyle name="常规 22" xfId="118"/>
    <cellStyle name="常规_2018年预算调整表12.24(不得以修改报闽侯上会定稿) 2" xfId="119"/>
    <cellStyle name="常规_2019年项目调整表最新2019.11.21修改1 2" xfId="120"/>
    <cellStyle name="好_2019年项目调整表最新2019.11.21李晓成" xfId="121"/>
    <cellStyle name="好_2019年项目调整表最新2019.11.21修改" xfId="122"/>
    <cellStyle name="好_2019年项目调整表最新2019.11.21修改1" xfId="123"/>
    <cellStyle name="强调 1" xfId="124"/>
    <cellStyle name="强调 1 2" xfId="125"/>
    <cellStyle name="强调 2" xfId="126"/>
    <cellStyle name="强调 2 2" xfId="127"/>
    <cellStyle name="常规_2018年预算调整表12.24(不得以修改报闽侯上会定稿)" xfId="128"/>
    <cellStyle name="超链接 3" xfId="129"/>
    <cellStyle name="常规_（高新区财力）2020年预算调整表12.09（未排版）" xfId="130"/>
    <cellStyle name="常规_附件4-2018—2020年部门支出规划录入表" xfId="13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4"/>
  <sheetViews>
    <sheetView showZeros="0" tabSelected="1" view="pageBreakPreview" zoomScaleNormal="100" workbookViewId="0">
      <pane xSplit="1" ySplit="4" topLeftCell="B40" activePane="bottomRight" state="frozen"/>
      <selection/>
      <selection pane="topRight"/>
      <selection pane="bottomLeft"/>
      <selection pane="bottomRight" activeCell="F50" sqref="F50"/>
    </sheetView>
  </sheetViews>
  <sheetFormatPr defaultColWidth="9" defaultRowHeight="13.5"/>
  <cols>
    <col min="1" max="1" width="15.375" style="71" customWidth="1"/>
    <col min="2" max="2" width="14.125" style="1" customWidth="1"/>
    <col min="3" max="5" width="12.25" style="1" customWidth="1"/>
    <col min="6" max="6" width="11.5" style="1" customWidth="1"/>
    <col min="7" max="7" width="12.25" style="1" customWidth="1"/>
    <col min="8" max="8" width="15.375" style="1" customWidth="1"/>
    <col min="9" max="9" width="13.375" style="1" customWidth="1"/>
    <col min="10" max="10" width="11.25" style="1" customWidth="1"/>
    <col min="11" max="12" width="9.875" style="72" customWidth="1"/>
    <col min="13" max="13" width="9.875" style="73" customWidth="1"/>
    <col min="14" max="15" width="12.625" style="1"/>
    <col min="16" max="17" width="9" style="1"/>
    <col min="18" max="19" width="12.625" style="1"/>
    <col min="20" max="20" width="13.75" style="1"/>
    <col min="21" max="16384" width="9" style="1"/>
  </cols>
  <sheetData>
    <row r="1" s="1" customFormat="1" ht="20.25" spans="1:13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96"/>
      <c r="L1" s="96"/>
      <c r="M1" s="96"/>
    </row>
    <row r="2" s="1" customFormat="1" ht="22.5" customHeight="1" spans="1:13">
      <c r="A2" s="75" t="s">
        <v>1</v>
      </c>
      <c r="B2" s="75"/>
      <c r="C2" s="76"/>
      <c r="D2" s="76"/>
      <c r="E2" s="77" t="s">
        <v>2</v>
      </c>
      <c r="F2" s="77"/>
      <c r="G2" s="77"/>
      <c r="H2" s="78" t="s">
        <v>3</v>
      </c>
      <c r="I2" s="78"/>
      <c r="J2" s="78"/>
      <c r="K2" s="97"/>
      <c r="L2" s="97"/>
      <c r="M2" s="97"/>
    </row>
    <row r="3" s="1" customFormat="1" ht="24" customHeight="1" spans="1:13">
      <c r="A3" s="79" t="s">
        <v>4</v>
      </c>
      <c r="B3" s="80" t="s">
        <v>5</v>
      </c>
      <c r="C3" s="81"/>
      <c r="D3" s="82"/>
      <c r="E3" s="83" t="s">
        <v>6</v>
      </c>
      <c r="F3" s="84"/>
      <c r="G3" s="85"/>
      <c r="H3" s="86" t="s">
        <v>7</v>
      </c>
      <c r="I3" s="98"/>
      <c r="J3" s="99"/>
      <c r="K3" s="100" t="s">
        <v>8</v>
      </c>
      <c r="L3" s="101"/>
      <c r="M3" s="102"/>
    </row>
    <row r="4" s="1" customFormat="1" ht="24" customHeight="1" spans="1:13">
      <c r="A4" s="87"/>
      <c r="B4" s="11" t="s">
        <v>9</v>
      </c>
      <c r="C4" s="11" t="s">
        <v>10</v>
      </c>
      <c r="D4" s="11" t="s">
        <v>11</v>
      </c>
      <c r="E4" s="11" t="s">
        <v>9</v>
      </c>
      <c r="F4" s="11" t="s">
        <v>10</v>
      </c>
      <c r="G4" s="11" t="s">
        <v>11</v>
      </c>
      <c r="H4" s="11" t="s">
        <v>9</v>
      </c>
      <c r="I4" s="11" t="s">
        <v>10</v>
      </c>
      <c r="J4" s="11" t="s">
        <v>11</v>
      </c>
      <c r="K4" s="103" t="s">
        <v>9</v>
      </c>
      <c r="L4" s="103" t="s">
        <v>10</v>
      </c>
      <c r="M4" s="103" t="s">
        <v>11</v>
      </c>
    </row>
    <row r="5" s="2" customFormat="1" ht="41" customHeight="1" spans="1:13">
      <c r="A5" s="88" t="s">
        <v>12</v>
      </c>
      <c r="B5" s="89">
        <f>C5+D5</f>
        <v>3082889.405</v>
      </c>
      <c r="C5" s="89">
        <f>C6+C13</f>
        <v>2303916</v>
      </c>
      <c r="D5" s="89">
        <f>D6+D13</f>
        <v>778973.405</v>
      </c>
      <c r="E5" s="89">
        <f>E6+E13</f>
        <v>1767578.4580745</v>
      </c>
      <c r="F5" s="89">
        <f>F6+F13</f>
        <v>1333066.0280745</v>
      </c>
      <c r="G5" s="89">
        <f>G6+G13</f>
        <v>434512.43</v>
      </c>
      <c r="H5" s="89">
        <f t="shared" ref="H5:H11" si="0">I5+J5</f>
        <v>-1315310.9469255</v>
      </c>
      <c r="I5" s="89">
        <f t="shared" ref="I5:I13" si="1">F5-C5</f>
        <v>-970849.9719255</v>
      </c>
      <c r="J5" s="89">
        <f>J6+J13</f>
        <v>-344460.975</v>
      </c>
      <c r="K5" s="104">
        <f t="shared" ref="K5:K10" si="2">H5/B5*100</f>
        <v>-42.6648761642976</v>
      </c>
      <c r="L5" s="104">
        <f t="shared" ref="L5:L10" si="3">(F5-C5)/C5*100</f>
        <v>-42.1391219091972</v>
      </c>
      <c r="M5" s="104">
        <f t="shared" ref="M5:M10" si="4">(J5/D5)*100</f>
        <v>-44.2198633212645</v>
      </c>
    </row>
    <row r="6" s="2" customFormat="1" ht="41" customHeight="1" spans="1:13">
      <c r="A6" s="88" t="s">
        <v>13</v>
      </c>
      <c r="B6" s="89">
        <f t="shared" ref="B6:G6" si="5">B8+B9</f>
        <v>1517889.405</v>
      </c>
      <c r="C6" s="89">
        <f t="shared" si="5"/>
        <v>1203916</v>
      </c>
      <c r="D6" s="89">
        <f t="shared" si="5"/>
        <v>313973.405</v>
      </c>
      <c r="E6" s="89">
        <f t="shared" si="5"/>
        <v>1409264.4580745</v>
      </c>
      <c r="F6" s="89">
        <f t="shared" si="5"/>
        <v>1116366.0280745</v>
      </c>
      <c r="G6" s="89">
        <f t="shared" si="5"/>
        <v>292898.43</v>
      </c>
      <c r="H6" s="89">
        <f t="shared" si="0"/>
        <v>-108624.9469255</v>
      </c>
      <c r="I6" s="89">
        <f t="shared" si="1"/>
        <v>-87549.9719254998</v>
      </c>
      <c r="J6" s="89">
        <f>J14+J38</f>
        <v>-21074.975</v>
      </c>
      <c r="K6" s="104">
        <f t="shared" si="2"/>
        <v>-7.15631498366641</v>
      </c>
      <c r="L6" s="104">
        <f t="shared" si="3"/>
        <v>-7.27209970840988</v>
      </c>
      <c r="M6" s="104">
        <f t="shared" si="4"/>
        <v>-6.71234399614197</v>
      </c>
    </row>
    <row r="7" s="2" customFormat="1" ht="48" hidden="1" customHeight="1" spans="1:13">
      <c r="A7" s="88" t="s">
        <v>14</v>
      </c>
      <c r="B7" s="89">
        <f t="shared" ref="B7:G7" si="6">B6-B17</f>
        <v>1539547.405</v>
      </c>
      <c r="C7" s="89">
        <f t="shared" si="6"/>
        <v>1225574</v>
      </c>
      <c r="D7" s="89">
        <f t="shared" si="6"/>
        <v>313973.405</v>
      </c>
      <c r="E7" s="89">
        <f t="shared" si="6"/>
        <v>1505776.4580745</v>
      </c>
      <c r="F7" s="89">
        <f t="shared" si="6"/>
        <v>1212878.0280745</v>
      </c>
      <c r="G7" s="89">
        <f t="shared" si="6"/>
        <v>292898.43</v>
      </c>
      <c r="H7" s="89">
        <f t="shared" si="0"/>
        <v>-33770.9469254999</v>
      </c>
      <c r="I7" s="89">
        <f t="shared" si="1"/>
        <v>-12695.9719254998</v>
      </c>
      <c r="J7" s="89">
        <f>G7-D7</f>
        <v>-21074.975</v>
      </c>
      <c r="K7" s="104">
        <f t="shared" si="2"/>
        <v>-2.19356330411274</v>
      </c>
      <c r="L7" s="104">
        <f t="shared" si="3"/>
        <v>-1.03592046873545</v>
      </c>
      <c r="M7" s="104">
        <f t="shared" si="4"/>
        <v>-6.71234399614198</v>
      </c>
    </row>
    <row r="8" s="2" customFormat="1" ht="41" customHeight="1" spans="1:13">
      <c r="A8" s="88" t="s">
        <v>15</v>
      </c>
      <c r="B8" s="89">
        <f t="shared" ref="B8:G8" si="7">B14-B11</f>
        <v>564623.3185</v>
      </c>
      <c r="C8" s="89">
        <f t="shared" si="7"/>
        <v>455588</v>
      </c>
      <c r="D8" s="89">
        <f t="shared" si="7"/>
        <v>109035.3185</v>
      </c>
      <c r="E8" s="89">
        <f t="shared" si="7"/>
        <v>411480.3376405</v>
      </c>
      <c r="F8" s="89">
        <f t="shared" si="7"/>
        <v>332743.0376405</v>
      </c>
      <c r="G8" s="89">
        <f t="shared" si="7"/>
        <v>78737.3</v>
      </c>
      <c r="H8" s="89">
        <f t="shared" si="0"/>
        <v>-153142.9808595</v>
      </c>
      <c r="I8" s="89">
        <f t="shared" si="1"/>
        <v>-122844.9623595</v>
      </c>
      <c r="J8" s="89">
        <f>G8-D8</f>
        <v>-30298.0185</v>
      </c>
      <c r="K8" s="104">
        <f t="shared" si="2"/>
        <v>-27.1230350999929</v>
      </c>
      <c r="L8" s="104">
        <f t="shared" si="3"/>
        <v>-26.9640469809345</v>
      </c>
      <c r="M8" s="104">
        <f t="shared" si="4"/>
        <v>-27.7873435110845</v>
      </c>
    </row>
    <row r="9" s="2" customFormat="1" ht="41" customHeight="1" spans="1:13">
      <c r="A9" s="90" t="s">
        <v>16</v>
      </c>
      <c r="B9" s="89">
        <f>B11+B12</f>
        <v>953266.0865</v>
      </c>
      <c r="C9" s="89">
        <f t="shared" ref="B9:G9" si="8">C11+C12</f>
        <v>748328</v>
      </c>
      <c r="D9" s="89">
        <f t="shared" si="8"/>
        <v>204938.0865</v>
      </c>
      <c r="E9" s="89">
        <f t="shared" si="8"/>
        <v>997784.120434</v>
      </c>
      <c r="F9" s="89">
        <f t="shared" si="8"/>
        <v>783622.990434</v>
      </c>
      <c r="G9" s="89">
        <f t="shared" si="8"/>
        <v>214161.13</v>
      </c>
      <c r="H9" s="89">
        <f t="shared" si="0"/>
        <v>44518.0339340001</v>
      </c>
      <c r="I9" s="89">
        <f t="shared" si="1"/>
        <v>35294.990434</v>
      </c>
      <c r="J9" s="89">
        <f>J11+J12</f>
        <v>9223.04350000004</v>
      </c>
      <c r="K9" s="104">
        <f t="shared" si="2"/>
        <v>4.67005325841937</v>
      </c>
      <c r="L9" s="104">
        <f t="shared" si="3"/>
        <v>4.71651340508441</v>
      </c>
      <c r="M9" s="104">
        <f t="shared" si="4"/>
        <v>4.50040480884457</v>
      </c>
    </row>
    <row r="10" s="2" customFormat="1" ht="41" hidden="1" customHeight="1" spans="1:13">
      <c r="A10" s="88" t="s">
        <v>17</v>
      </c>
      <c r="B10" s="89">
        <f t="shared" ref="B10:G10" si="9">B9-B17/2</f>
        <v>964095.0865</v>
      </c>
      <c r="C10" s="89">
        <f t="shared" si="9"/>
        <v>759157</v>
      </c>
      <c r="D10" s="89">
        <f t="shared" si="9"/>
        <v>204938.0865</v>
      </c>
      <c r="E10" s="89">
        <f t="shared" si="9"/>
        <v>1046040.120434</v>
      </c>
      <c r="F10" s="89">
        <f t="shared" si="9"/>
        <v>831878.990434</v>
      </c>
      <c r="G10" s="89">
        <f t="shared" si="9"/>
        <v>214161.13</v>
      </c>
      <c r="H10" s="89">
        <f t="shared" si="0"/>
        <v>81945.0339340001</v>
      </c>
      <c r="I10" s="89">
        <f t="shared" si="1"/>
        <v>72721.990434</v>
      </c>
      <c r="J10" s="89">
        <f>G10-D10</f>
        <v>9223.04350000003</v>
      </c>
      <c r="K10" s="104">
        <f t="shared" si="2"/>
        <v>8.49968380520318</v>
      </c>
      <c r="L10" s="104">
        <f t="shared" si="3"/>
        <v>9.57930842157815</v>
      </c>
      <c r="M10" s="104">
        <f t="shared" si="4"/>
        <v>4.50040480884456</v>
      </c>
    </row>
    <row r="11" s="1" customFormat="1" ht="41" customHeight="1" spans="1:13">
      <c r="A11" s="91" t="s">
        <v>18</v>
      </c>
      <c r="B11" s="92">
        <f>C11+D11</f>
        <v>749174.1185</v>
      </c>
      <c r="C11" s="92">
        <v>598328</v>
      </c>
      <c r="D11" s="92">
        <f>D14-0.5*D15-0.6*(D23+D26)-D37-D20</f>
        <v>150846.1185</v>
      </c>
      <c r="E11" s="92">
        <f>F11+G11</f>
        <v>426846.480434</v>
      </c>
      <c r="F11" s="92">
        <f>F14-0.5*F15-0.6*(F23+F26)-F37-F20</f>
        <v>316841.990434</v>
      </c>
      <c r="G11" s="92">
        <f>G14-0.5*G15-0.6*(G23+G26)-G37-G20</f>
        <v>110004.49</v>
      </c>
      <c r="H11" s="92">
        <f t="shared" si="0"/>
        <v>-322327.638066</v>
      </c>
      <c r="I11" s="92">
        <f t="shared" si="1"/>
        <v>-281486.009566</v>
      </c>
      <c r="J11" s="92">
        <f>G11-D11</f>
        <v>-40841.6285</v>
      </c>
      <c r="K11" s="105">
        <f t="shared" ref="K11:K24" si="10">H11/B11*100</f>
        <v>-43.0243958122</v>
      </c>
      <c r="L11" s="105">
        <f t="shared" ref="L11:L24" si="11">(F11-C11)/C11*100</f>
        <v>-47.0454348728457</v>
      </c>
      <c r="M11" s="105">
        <f t="shared" ref="M11:M17" si="12">(J11/D11)*100</f>
        <v>-27.0750277873408</v>
      </c>
    </row>
    <row r="12" s="1" customFormat="1" ht="41" customHeight="1" spans="1:13">
      <c r="A12" s="91" t="s">
        <v>19</v>
      </c>
      <c r="B12" s="92">
        <f>C12+D12</f>
        <v>204091.968</v>
      </c>
      <c r="C12" s="92">
        <v>150000</v>
      </c>
      <c r="D12" s="92">
        <f>D38</f>
        <v>54091.968</v>
      </c>
      <c r="E12" s="92">
        <f>F12+G12</f>
        <v>570937.64</v>
      </c>
      <c r="F12" s="92">
        <f>F38</f>
        <v>466781</v>
      </c>
      <c r="G12" s="92">
        <f>G38</f>
        <v>104156.64</v>
      </c>
      <c r="H12" s="92">
        <f>H39+H40+H41+H49+H50+H51+H52+H53</f>
        <v>366845.672</v>
      </c>
      <c r="I12" s="92">
        <f t="shared" si="1"/>
        <v>316781</v>
      </c>
      <c r="J12" s="92">
        <f>G12-D12</f>
        <v>50064.672</v>
      </c>
      <c r="K12" s="105">
        <f t="shared" si="10"/>
        <v>179.745276404018</v>
      </c>
      <c r="L12" s="105">
        <f t="shared" si="11"/>
        <v>211.187333333333</v>
      </c>
      <c r="M12" s="105">
        <f t="shared" si="12"/>
        <v>92.5547245757448</v>
      </c>
    </row>
    <row r="13" s="2" customFormat="1" ht="41" customHeight="1" spans="1:13">
      <c r="A13" s="88" t="s">
        <v>20</v>
      </c>
      <c r="B13" s="89">
        <f>B56+B60</f>
        <v>1565000</v>
      </c>
      <c r="C13" s="89">
        <f>C56+C60</f>
        <v>1100000</v>
      </c>
      <c r="D13" s="89">
        <f>D56+D60</f>
        <v>465000</v>
      </c>
      <c r="E13" s="89">
        <f>F13+G13</f>
        <v>358314</v>
      </c>
      <c r="F13" s="89">
        <f>F55</f>
        <v>216700</v>
      </c>
      <c r="G13" s="89">
        <f>G55</f>
        <v>141614</v>
      </c>
      <c r="H13" s="89">
        <f>I13+J13</f>
        <v>-1206686</v>
      </c>
      <c r="I13" s="89">
        <f t="shared" si="1"/>
        <v>-883300</v>
      </c>
      <c r="J13" s="89">
        <f>G13-D13</f>
        <v>-323386</v>
      </c>
      <c r="K13" s="104">
        <f t="shared" si="10"/>
        <v>-77.1045367412141</v>
      </c>
      <c r="L13" s="104">
        <f t="shared" si="11"/>
        <v>-80.3</v>
      </c>
      <c r="M13" s="104">
        <f t="shared" si="12"/>
        <v>-69.545376344086</v>
      </c>
    </row>
    <row r="14" s="2" customFormat="1" ht="41" customHeight="1" spans="1:13">
      <c r="A14" s="88" t="s">
        <v>21</v>
      </c>
      <c r="B14" s="89">
        <f t="shared" ref="B14:J14" si="13">B15+B20+B23+B26+B27+B28+B29+B30+B31+B32+B33+B34+B35+B36+B37</f>
        <v>1313797.437</v>
      </c>
      <c r="C14" s="89">
        <f t="shared" si="13"/>
        <v>1053916</v>
      </c>
      <c r="D14" s="89">
        <f t="shared" si="13"/>
        <v>259881.437</v>
      </c>
      <c r="E14" s="89">
        <f t="shared" si="13"/>
        <v>838326.8180745</v>
      </c>
      <c r="F14" s="89">
        <f t="shared" si="13"/>
        <v>649585.0280745</v>
      </c>
      <c r="G14" s="89">
        <f t="shared" si="13"/>
        <v>188741.79</v>
      </c>
      <c r="H14" s="89">
        <f t="shared" si="13"/>
        <v>-475470.6189255</v>
      </c>
      <c r="I14" s="89">
        <f t="shared" si="13"/>
        <v>-404330.9719255</v>
      </c>
      <c r="J14" s="89">
        <f t="shared" si="13"/>
        <v>-71139.647</v>
      </c>
      <c r="K14" s="104">
        <f t="shared" si="10"/>
        <v>-36.1905576563779</v>
      </c>
      <c r="L14" s="104">
        <f t="shared" si="11"/>
        <v>-38.3646298116264</v>
      </c>
      <c r="M14" s="104">
        <f t="shared" si="12"/>
        <v>-27.3738854999482</v>
      </c>
    </row>
    <row r="15" s="1" customFormat="1" ht="41" customHeight="1" spans="1:13">
      <c r="A15" s="91" t="s">
        <v>22</v>
      </c>
      <c r="B15" s="92">
        <f t="shared" ref="B15:B22" si="14">C15+D15</f>
        <v>517961.723</v>
      </c>
      <c r="C15" s="92">
        <v>422160</v>
      </c>
      <c r="D15" s="92">
        <f>2*47900.8615</f>
        <v>95801.723</v>
      </c>
      <c r="E15" s="92">
        <f t="shared" ref="E15:E22" si="15">F15+G15</f>
        <v>261626.410074</v>
      </c>
      <c r="F15" s="92">
        <f>12000+196082.410074-3424+5097</f>
        <v>209755.410074</v>
      </c>
      <c r="G15" s="92">
        <v>51871</v>
      </c>
      <c r="H15" s="92">
        <f t="shared" ref="H15:H22" si="16">I15+J15</f>
        <v>-256335.312926</v>
      </c>
      <c r="I15" s="92">
        <f t="shared" ref="I15:I22" si="17">F15-C15</f>
        <v>-212404.589926</v>
      </c>
      <c r="J15" s="92">
        <f t="shared" ref="J15:J22" si="18">G15-D15</f>
        <v>-43930.723</v>
      </c>
      <c r="K15" s="105">
        <f t="shared" si="10"/>
        <v>-49.4892385949531</v>
      </c>
      <c r="L15" s="105">
        <f t="shared" si="11"/>
        <v>-50.3137649057229</v>
      </c>
      <c r="M15" s="105">
        <f t="shared" si="12"/>
        <v>-45.8558798571921</v>
      </c>
    </row>
    <row r="16" s="1" customFormat="1" ht="41" customHeight="1" spans="1:13">
      <c r="A16" s="91" t="s">
        <v>23</v>
      </c>
      <c r="B16" s="92">
        <f t="shared" si="14"/>
        <v>517961.723</v>
      </c>
      <c r="C16" s="92">
        <v>422160</v>
      </c>
      <c r="D16" s="92">
        <f>2*47900.8615</f>
        <v>95801.723</v>
      </c>
      <c r="E16" s="92">
        <f t="shared" si="15"/>
        <v>256529.410074</v>
      </c>
      <c r="F16" s="92">
        <f>12000+196082.410074-3424</f>
        <v>204658.410074</v>
      </c>
      <c r="G16" s="92">
        <v>51871</v>
      </c>
      <c r="H16" s="92">
        <f t="shared" si="16"/>
        <v>-261432.312926</v>
      </c>
      <c r="I16" s="92">
        <f t="shared" si="17"/>
        <v>-217501.589926</v>
      </c>
      <c r="J16" s="92">
        <f t="shared" si="18"/>
        <v>-43930.723</v>
      </c>
      <c r="K16" s="105">
        <f t="shared" si="10"/>
        <v>-50.4732881441125</v>
      </c>
      <c r="L16" s="105">
        <f t="shared" si="11"/>
        <v>-51.5211270433011</v>
      </c>
      <c r="M16" s="105">
        <f t="shared" si="12"/>
        <v>-45.8558798571921</v>
      </c>
    </row>
    <row r="17" s="2" customFormat="1" ht="41" customHeight="1" spans="1:13">
      <c r="A17" s="91" t="s">
        <v>24</v>
      </c>
      <c r="B17" s="92">
        <f t="shared" si="14"/>
        <v>-21658</v>
      </c>
      <c r="C17" s="92">
        <v>-21658</v>
      </c>
      <c r="D17" s="92"/>
      <c r="E17" s="92">
        <f t="shared" si="15"/>
        <v>-96512</v>
      </c>
      <c r="F17" s="92">
        <f>-46256*2-4000</f>
        <v>-96512</v>
      </c>
      <c r="G17" s="92"/>
      <c r="H17" s="92">
        <f t="shared" si="16"/>
        <v>-74854</v>
      </c>
      <c r="I17" s="92">
        <f t="shared" si="17"/>
        <v>-74854</v>
      </c>
      <c r="J17" s="92">
        <f t="shared" si="18"/>
        <v>0</v>
      </c>
      <c r="K17" s="105">
        <f t="shared" si="10"/>
        <v>345.61824729892</v>
      </c>
      <c r="L17" s="105">
        <f t="shared" si="11"/>
        <v>345.61824729892</v>
      </c>
      <c r="M17" s="105"/>
    </row>
    <row r="18" s="1" customFormat="1" ht="41" hidden="1" customHeight="1" spans="1:13">
      <c r="A18" s="93" t="s">
        <v>25</v>
      </c>
      <c r="B18" s="92">
        <f t="shared" si="14"/>
        <v>0</v>
      </c>
      <c r="C18" s="92">
        <v>0</v>
      </c>
      <c r="D18" s="92"/>
      <c r="E18" s="92">
        <f t="shared" si="15"/>
        <v>0</v>
      </c>
      <c r="F18" s="92"/>
      <c r="G18" s="92"/>
      <c r="H18" s="92">
        <f t="shared" si="16"/>
        <v>0</v>
      </c>
      <c r="I18" s="92">
        <f t="shared" si="17"/>
        <v>0</v>
      </c>
      <c r="J18" s="92">
        <f t="shared" si="18"/>
        <v>0</v>
      </c>
      <c r="K18" s="105" t="e">
        <f t="shared" si="10"/>
        <v>#DIV/0!</v>
      </c>
      <c r="L18" s="105" t="e">
        <f t="shared" si="11"/>
        <v>#DIV/0!</v>
      </c>
      <c r="M18" s="105">
        <v>0</v>
      </c>
    </row>
    <row r="19" s="1" customFormat="1" ht="41" customHeight="1" spans="1:13">
      <c r="A19" s="91" t="s">
        <v>26</v>
      </c>
      <c r="B19" s="92">
        <f t="shared" si="14"/>
        <v>50000</v>
      </c>
      <c r="C19" s="92">
        <v>50000</v>
      </c>
      <c r="D19" s="92"/>
      <c r="E19" s="92">
        <f t="shared" si="15"/>
        <v>53000</v>
      </c>
      <c r="F19" s="92">
        <v>53000</v>
      </c>
      <c r="G19" s="92"/>
      <c r="H19" s="92">
        <f t="shared" si="16"/>
        <v>3000</v>
      </c>
      <c r="I19" s="92">
        <f t="shared" si="17"/>
        <v>3000</v>
      </c>
      <c r="J19" s="92">
        <f t="shared" si="18"/>
        <v>0</v>
      </c>
      <c r="K19" s="105">
        <f t="shared" si="10"/>
        <v>6</v>
      </c>
      <c r="L19" s="105">
        <f t="shared" si="11"/>
        <v>6</v>
      </c>
      <c r="M19" s="105">
        <v>0</v>
      </c>
    </row>
    <row r="20" s="1" customFormat="1" ht="41" customHeight="1" spans="1:13">
      <c r="A20" s="91" t="s">
        <v>27</v>
      </c>
      <c r="B20" s="92">
        <f t="shared" si="14"/>
        <v>75640.57</v>
      </c>
      <c r="C20" s="92">
        <v>74508</v>
      </c>
      <c r="D20" s="92">
        <v>1132.57</v>
      </c>
      <c r="E20" s="92">
        <f t="shared" si="15"/>
        <v>68904</v>
      </c>
      <c r="F20" s="92">
        <f>7500+59418</f>
        <v>66918</v>
      </c>
      <c r="G20" s="92">
        <v>1986</v>
      </c>
      <c r="H20" s="92">
        <f t="shared" si="16"/>
        <v>-6736.57</v>
      </c>
      <c r="I20" s="92">
        <f t="shared" si="17"/>
        <v>-7590</v>
      </c>
      <c r="J20" s="92">
        <f t="shared" si="18"/>
        <v>853.43</v>
      </c>
      <c r="K20" s="105">
        <f t="shared" si="10"/>
        <v>-8.90602754579983</v>
      </c>
      <c r="L20" s="105">
        <f t="shared" si="11"/>
        <v>-10.1868255757771</v>
      </c>
      <c r="M20" s="105">
        <f>(J20/D20)*100</f>
        <v>75.3533997898585</v>
      </c>
    </row>
    <row r="21" s="1" customFormat="1" ht="41" hidden="1" customHeight="1" spans="1:13">
      <c r="A21" s="93" t="s">
        <v>25</v>
      </c>
      <c r="B21" s="92">
        <f t="shared" si="14"/>
        <v>800</v>
      </c>
      <c r="C21" s="92">
        <v>800</v>
      </c>
      <c r="D21" s="92"/>
      <c r="E21" s="92">
        <f t="shared" si="15"/>
        <v>0</v>
      </c>
      <c r="F21" s="92"/>
      <c r="G21" s="92"/>
      <c r="H21" s="92">
        <f t="shared" si="16"/>
        <v>-800</v>
      </c>
      <c r="I21" s="92">
        <f t="shared" si="17"/>
        <v>-800</v>
      </c>
      <c r="J21" s="92">
        <f t="shared" si="18"/>
        <v>0</v>
      </c>
      <c r="K21" s="105">
        <f t="shared" si="10"/>
        <v>-100</v>
      </c>
      <c r="L21" s="105">
        <f t="shared" si="11"/>
        <v>-100</v>
      </c>
      <c r="M21" s="105">
        <v>0</v>
      </c>
    </row>
    <row r="22" s="1" customFormat="1" ht="41" customHeight="1" spans="1:13">
      <c r="A22" s="91" t="s">
        <v>26</v>
      </c>
      <c r="B22" s="92">
        <f t="shared" si="14"/>
        <v>65000</v>
      </c>
      <c r="C22" s="92">
        <v>65000</v>
      </c>
      <c r="D22" s="92"/>
      <c r="E22" s="92">
        <f t="shared" si="15"/>
        <v>60000</v>
      </c>
      <c r="F22" s="92">
        <v>60000</v>
      </c>
      <c r="G22" s="92"/>
      <c r="H22" s="92">
        <f t="shared" si="16"/>
        <v>-5000</v>
      </c>
      <c r="I22" s="92">
        <f t="shared" si="17"/>
        <v>-5000</v>
      </c>
      <c r="J22" s="92">
        <f t="shared" si="18"/>
        <v>0</v>
      </c>
      <c r="K22" s="105">
        <f t="shared" si="10"/>
        <v>-7.69230769230769</v>
      </c>
      <c r="L22" s="105">
        <f t="shared" si="11"/>
        <v>-7.69230769230769</v>
      </c>
      <c r="M22" s="105">
        <v>0</v>
      </c>
    </row>
    <row r="23" s="1" customFormat="1" ht="41" customHeight="1" spans="1:13">
      <c r="A23" s="91" t="s">
        <v>28</v>
      </c>
      <c r="B23" s="92">
        <f t="shared" ref="B23:B54" si="19">C23+D23</f>
        <v>266675.88</v>
      </c>
      <c r="C23" s="92">
        <v>200000</v>
      </c>
      <c r="D23" s="92">
        <f>26670.352/0.4</f>
        <v>66675.88</v>
      </c>
      <c r="E23" s="92">
        <f t="shared" ref="E23:E37" si="20">F23+G23</f>
        <v>249485.859525</v>
      </c>
      <c r="F23" s="92">
        <f>9000+200537.859525</f>
        <v>209537.859525</v>
      </c>
      <c r="G23" s="92">
        <v>39948</v>
      </c>
      <c r="H23" s="92">
        <f t="shared" ref="H23:H37" si="21">I23+J23</f>
        <v>-17190.020475</v>
      </c>
      <c r="I23" s="92">
        <f t="shared" ref="I23:I37" si="22">F23-C23</f>
        <v>9537.85952500001</v>
      </c>
      <c r="J23" s="92">
        <f t="shared" ref="J23:J37" si="23">G23-D23</f>
        <v>-26727.88</v>
      </c>
      <c r="K23" s="105">
        <f t="shared" si="10"/>
        <v>-6.44603496761687</v>
      </c>
      <c r="L23" s="105">
        <f t="shared" si="11"/>
        <v>4.7689297625</v>
      </c>
      <c r="M23" s="105">
        <f t="shared" ref="M23:M36" si="24">(J23/D23)*100</f>
        <v>-40.0862800760935</v>
      </c>
    </row>
    <row r="24" s="1" customFormat="1" ht="41" hidden="1" customHeight="1" spans="1:13">
      <c r="A24" s="91" t="s">
        <v>25</v>
      </c>
      <c r="B24" s="92">
        <f t="shared" si="19"/>
        <v>0</v>
      </c>
      <c r="C24" s="92">
        <v>0</v>
      </c>
      <c r="D24" s="92"/>
      <c r="E24" s="92">
        <f t="shared" si="20"/>
        <v>0</v>
      </c>
      <c r="F24" s="92"/>
      <c r="G24" s="92"/>
      <c r="H24" s="92">
        <f t="shared" si="21"/>
        <v>0</v>
      </c>
      <c r="I24" s="92">
        <f t="shared" si="22"/>
        <v>0</v>
      </c>
      <c r="J24" s="92">
        <f t="shared" si="23"/>
        <v>0</v>
      </c>
      <c r="K24" s="105">
        <v>0</v>
      </c>
      <c r="L24" s="105">
        <v>0</v>
      </c>
      <c r="M24" s="105">
        <v>0</v>
      </c>
    </row>
    <row r="25" s="1" customFormat="1" ht="41" customHeight="1" spans="1:13">
      <c r="A25" s="91" t="s">
        <v>26</v>
      </c>
      <c r="B25" s="92">
        <f t="shared" si="19"/>
        <v>70000</v>
      </c>
      <c r="C25" s="92">
        <v>70000</v>
      </c>
      <c r="D25" s="92"/>
      <c r="E25" s="92">
        <f t="shared" si="20"/>
        <v>93000</v>
      </c>
      <c r="F25" s="92">
        <v>93000</v>
      </c>
      <c r="G25" s="92"/>
      <c r="H25" s="92">
        <f t="shared" si="21"/>
        <v>23000</v>
      </c>
      <c r="I25" s="92">
        <f t="shared" si="22"/>
        <v>23000</v>
      </c>
      <c r="J25" s="92">
        <f t="shared" si="23"/>
        <v>0</v>
      </c>
      <c r="K25" s="105">
        <f t="shared" ref="K25:K47" si="25">H25/B25*100</f>
        <v>32.8571428571429</v>
      </c>
      <c r="L25" s="105">
        <f t="shared" ref="L25:L47" si="26">(F25-C25)/C25*100</f>
        <v>32.8571428571429</v>
      </c>
      <c r="M25" s="105">
        <v>0</v>
      </c>
    </row>
    <row r="26" s="1" customFormat="1" ht="41" customHeight="1" spans="1:13">
      <c r="A26" s="91" t="s">
        <v>29</v>
      </c>
      <c r="B26" s="92">
        <f t="shared" si="19"/>
        <v>63327.265</v>
      </c>
      <c r="C26" s="92">
        <v>30000</v>
      </c>
      <c r="D26" s="92">
        <f>13330.906/0.4</f>
        <v>33327.265</v>
      </c>
      <c r="E26" s="92">
        <f t="shared" si="20"/>
        <v>64161.0281475</v>
      </c>
      <c r="F26" s="92">
        <f>1000+18416.0281475</f>
        <v>19416.0281475</v>
      </c>
      <c r="G26" s="92">
        <v>44745</v>
      </c>
      <c r="H26" s="92">
        <f t="shared" si="21"/>
        <v>833.7631475</v>
      </c>
      <c r="I26" s="92">
        <f t="shared" si="22"/>
        <v>-10583.9718525</v>
      </c>
      <c r="J26" s="92">
        <f t="shared" si="23"/>
        <v>11417.735</v>
      </c>
      <c r="K26" s="105">
        <f t="shared" si="25"/>
        <v>1.31659427815176</v>
      </c>
      <c r="L26" s="105">
        <f t="shared" si="26"/>
        <v>-35.279906175</v>
      </c>
      <c r="M26" s="105">
        <f t="shared" si="24"/>
        <v>34.2594419314036</v>
      </c>
    </row>
    <row r="27" s="1" customFormat="1" ht="41" customHeight="1" spans="1:13">
      <c r="A27" s="91" t="s">
        <v>30</v>
      </c>
      <c r="B27" s="92">
        <f t="shared" si="19"/>
        <v>940.3515</v>
      </c>
      <c r="C27" s="92">
        <v>900</v>
      </c>
      <c r="D27" s="92">
        <v>40.3515</v>
      </c>
      <c r="E27" s="92">
        <f t="shared" si="20"/>
        <v>328.885315</v>
      </c>
      <c r="F27" s="92">
        <f>22+277.885315</f>
        <v>299.885315</v>
      </c>
      <c r="G27" s="92">
        <v>29</v>
      </c>
      <c r="H27" s="92">
        <f t="shared" si="21"/>
        <v>-611.466185</v>
      </c>
      <c r="I27" s="92">
        <f t="shared" si="22"/>
        <v>-600.114685</v>
      </c>
      <c r="J27" s="92">
        <f t="shared" si="23"/>
        <v>-11.3515</v>
      </c>
      <c r="K27" s="105">
        <f t="shared" si="25"/>
        <v>-65.0252788451978</v>
      </c>
      <c r="L27" s="105">
        <f t="shared" si="26"/>
        <v>-66.6794094444444</v>
      </c>
      <c r="M27" s="105">
        <f t="shared" si="24"/>
        <v>-28.1315440566026</v>
      </c>
    </row>
    <row r="28" s="1" customFormat="1" ht="41" customHeight="1" spans="1:13">
      <c r="A28" s="91" t="s">
        <v>31</v>
      </c>
      <c r="B28" s="92">
        <f t="shared" si="19"/>
        <v>54691.358</v>
      </c>
      <c r="C28" s="92">
        <v>50000</v>
      </c>
      <c r="D28" s="92">
        <v>4691.358</v>
      </c>
      <c r="E28" s="92">
        <f t="shared" si="20"/>
        <v>19925.306111</v>
      </c>
      <c r="F28" s="92">
        <f>2000+13522.306111</f>
        <v>15522.306111</v>
      </c>
      <c r="G28" s="92">
        <v>4403</v>
      </c>
      <c r="H28" s="92">
        <f t="shared" si="21"/>
        <v>-34766.051889</v>
      </c>
      <c r="I28" s="92">
        <f t="shared" si="22"/>
        <v>-34477.693889</v>
      </c>
      <c r="J28" s="92">
        <f t="shared" si="23"/>
        <v>-288.358</v>
      </c>
      <c r="K28" s="105">
        <f t="shared" si="25"/>
        <v>-63.5677247015881</v>
      </c>
      <c r="L28" s="105">
        <f t="shared" si="26"/>
        <v>-68.955387778</v>
      </c>
      <c r="M28" s="105">
        <f t="shared" si="24"/>
        <v>-6.14657845340305</v>
      </c>
    </row>
    <row r="29" s="1" customFormat="1" ht="41" customHeight="1" spans="1:13">
      <c r="A29" s="91" t="s">
        <v>32</v>
      </c>
      <c r="B29" s="92">
        <f t="shared" si="19"/>
        <v>49565.753</v>
      </c>
      <c r="C29" s="92">
        <v>40000</v>
      </c>
      <c r="D29" s="92">
        <v>9565.753</v>
      </c>
      <c r="E29" s="92">
        <f t="shared" si="20"/>
        <v>35091.63984</v>
      </c>
      <c r="F29" s="92">
        <f>3137+20911.63984-615</f>
        <v>23433.63984</v>
      </c>
      <c r="G29" s="92">
        <v>11658</v>
      </c>
      <c r="H29" s="92">
        <f t="shared" si="21"/>
        <v>-14474.11316</v>
      </c>
      <c r="I29" s="92">
        <f t="shared" si="22"/>
        <v>-16566.36016</v>
      </c>
      <c r="J29" s="92">
        <f t="shared" si="23"/>
        <v>2092.247</v>
      </c>
      <c r="K29" s="105">
        <f t="shared" si="25"/>
        <v>-29.2018425706152</v>
      </c>
      <c r="L29" s="105">
        <f t="shared" si="26"/>
        <v>-41.4159004</v>
      </c>
      <c r="M29" s="105">
        <f t="shared" si="24"/>
        <v>21.8722666161252</v>
      </c>
    </row>
    <row r="30" s="1" customFormat="1" ht="41" customHeight="1" spans="1:13">
      <c r="A30" s="91" t="s">
        <v>33</v>
      </c>
      <c r="B30" s="92">
        <f t="shared" si="19"/>
        <v>32910.2745</v>
      </c>
      <c r="C30" s="92">
        <v>30000</v>
      </c>
      <c r="D30" s="92">
        <v>2910.2745</v>
      </c>
      <c r="E30" s="92">
        <f t="shared" si="20"/>
        <v>9343.98471</v>
      </c>
      <c r="F30" s="92">
        <f>1000+5073.98471</f>
        <v>6073.98471</v>
      </c>
      <c r="G30" s="92">
        <v>3270</v>
      </c>
      <c r="H30" s="92">
        <f t="shared" si="21"/>
        <v>-23566.28979</v>
      </c>
      <c r="I30" s="92">
        <f t="shared" si="22"/>
        <v>-23926.01529</v>
      </c>
      <c r="J30" s="92">
        <f t="shared" si="23"/>
        <v>359.7255</v>
      </c>
      <c r="K30" s="105">
        <f t="shared" si="25"/>
        <v>-71.6076974380751</v>
      </c>
      <c r="L30" s="105">
        <f t="shared" si="26"/>
        <v>-79.7533843</v>
      </c>
      <c r="M30" s="105">
        <f t="shared" si="24"/>
        <v>12.3605350629296</v>
      </c>
    </row>
    <row r="31" s="1" customFormat="1" ht="41" customHeight="1" spans="1:13">
      <c r="A31" s="91" t="s">
        <v>34</v>
      </c>
      <c r="B31" s="92">
        <f t="shared" si="19"/>
        <v>21704.7555</v>
      </c>
      <c r="C31" s="92">
        <v>20000</v>
      </c>
      <c r="D31" s="92">
        <v>1704.7555</v>
      </c>
      <c r="E31" s="92">
        <f t="shared" si="20"/>
        <v>7669.991437</v>
      </c>
      <c r="F31" s="92">
        <f>1000+4952.391437</f>
        <v>5952.391437</v>
      </c>
      <c r="G31" s="92">
        <v>1717.6</v>
      </c>
      <c r="H31" s="92">
        <f t="shared" si="21"/>
        <v>-14034.764063</v>
      </c>
      <c r="I31" s="92">
        <f t="shared" si="22"/>
        <v>-14047.608563</v>
      </c>
      <c r="J31" s="92">
        <f t="shared" si="23"/>
        <v>12.8444999999999</v>
      </c>
      <c r="K31" s="105">
        <f t="shared" si="25"/>
        <v>-64.6621615387467</v>
      </c>
      <c r="L31" s="105">
        <f t="shared" si="26"/>
        <v>-70.238042815</v>
      </c>
      <c r="M31" s="105">
        <f t="shared" si="24"/>
        <v>0.753451154725703</v>
      </c>
    </row>
    <row r="32" s="1" customFormat="1" ht="41" customHeight="1" spans="1:13">
      <c r="A32" s="91" t="s">
        <v>35</v>
      </c>
      <c r="B32" s="92">
        <f t="shared" si="19"/>
        <v>122919.791</v>
      </c>
      <c r="C32" s="92">
        <v>104248</v>
      </c>
      <c r="D32" s="92">
        <v>18671.791</v>
      </c>
      <c r="E32" s="92">
        <f t="shared" si="20"/>
        <v>44687.57835</v>
      </c>
      <c r="F32" s="92">
        <f>2800+28317.57835</f>
        <v>31117.57835</v>
      </c>
      <c r="G32" s="92">
        <v>13570</v>
      </c>
      <c r="H32" s="92">
        <f t="shared" si="21"/>
        <v>-78232.21265</v>
      </c>
      <c r="I32" s="92">
        <f t="shared" si="22"/>
        <v>-73130.42165</v>
      </c>
      <c r="J32" s="92">
        <f t="shared" si="23"/>
        <v>-5101.791</v>
      </c>
      <c r="K32" s="105">
        <f t="shared" si="25"/>
        <v>-63.6449281385452</v>
      </c>
      <c r="L32" s="105">
        <f t="shared" si="26"/>
        <v>-70.1504313272197</v>
      </c>
      <c r="M32" s="105">
        <f t="shared" si="24"/>
        <v>-27.3235224194615</v>
      </c>
    </row>
    <row r="33" s="2" customFormat="1" ht="41" customHeight="1" spans="1:13">
      <c r="A33" s="91" t="s">
        <v>36</v>
      </c>
      <c r="B33" s="92">
        <f t="shared" si="19"/>
        <v>5003.4125</v>
      </c>
      <c r="C33" s="92">
        <v>5000</v>
      </c>
      <c r="D33" s="92">
        <v>3.4125</v>
      </c>
      <c r="E33" s="92">
        <f t="shared" si="20"/>
        <v>3720.278753</v>
      </c>
      <c r="F33" s="92">
        <f>500+3216.278753</f>
        <v>3716.278753</v>
      </c>
      <c r="G33" s="92">
        <v>4</v>
      </c>
      <c r="H33" s="92">
        <f t="shared" si="21"/>
        <v>-1283.133747</v>
      </c>
      <c r="I33" s="92">
        <f t="shared" si="22"/>
        <v>-1283.721247</v>
      </c>
      <c r="J33" s="92">
        <f t="shared" si="23"/>
        <v>0.5875</v>
      </c>
      <c r="K33" s="105">
        <f t="shared" si="25"/>
        <v>-25.6451721100349</v>
      </c>
      <c r="L33" s="105">
        <f t="shared" si="26"/>
        <v>-25.67442494</v>
      </c>
      <c r="M33" s="105">
        <f t="shared" si="24"/>
        <v>17.2161172161172</v>
      </c>
    </row>
    <row r="34" s="1" customFormat="1" ht="41" customHeight="1" spans="1:13">
      <c r="A34" s="91" t="s">
        <v>37</v>
      </c>
      <c r="B34" s="92">
        <f t="shared" si="19"/>
        <v>5515.2035</v>
      </c>
      <c r="C34" s="92">
        <v>5000</v>
      </c>
      <c r="D34" s="92">
        <v>515.2035</v>
      </c>
      <c r="E34" s="92">
        <f t="shared" si="20"/>
        <v>2081.397371</v>
      </c>
      <c r="F34" s="92">
        <f>300+1323.397371</f>
        <v>1623.397371</v>
      </c>
      <c r="G34" s="92">
        <v>458</v>
      </c>
      <c r="H34" s="92">
        <f t="shared" si="21"/>
        <v>-3433.806129</v>
      </c>
      <c r="I34" s="92">
        <f t="shared" si="22"/>
        <v>-3376.602629</v>
      </c>
      <c r="J34" s="92">
        <f t="shared" si="23"/>
        <v>-57.2035</v>
      </c>
      <c r="K34" s="105">
        <f t="shared" si="25"/>
        <v>-62.2607330627057</v>
      </c>
      <c r="L34" s="105">
        <f t="shared" si="26"/>
        <v>-67.53205258</v>
      </c>
      <c r="M34" s="105">
        <f t="shared" si="24"/>
        <v>-11.1030883912862</v>
      </c>
    </row>
    <row r="35" s="1" customFormat="1" ht="41" customHeight="1" spans="1:13">
      <c r="A35" s="91" t="s">
        <v>38</v>
      </c>
      <c r="B35" s="92">
        <f t="shared" si="19"/>
        <v>64832.773</v>
      </c>
      <c r="C35" s="92">
        <v>40000</v>
      </c>
      <c r="D35" s="92">
        <v>24832.773</v>
      </c>
      <c r="E35" s="92">
        <f t="shared" si="20"/>
        <v>47484.723035</v>
      </c>
      <c r="F35" s="92">
        <f>2800+29643.533035</f>
        <v>32443.533035</v>
      </c>
      <c r="G35" s="92">
        <v>15041.19</v>
      </c>
      <c r="H35" s="92">
        <f t="shared" si="21"/>
        <v>-17348.049965</v>
      </c>
      <c r="I35" s="92">
        <f t="shared" si="22"/>
        <v>-7556.466965</v>
      </c>
      <c r="J35" s="92">
        <f t="shared" si="23"/>
        <v>-9791.583</v>
      </c>
      <c r="K35" s="105">
        <f t="shared" si="25"/>
        <v>-26.75814894575</v>
      </c>
      <c r="L35" s="105">
        <f t="shared" si="26"/>
        <v>-18.8911674125</v>
      </c>
      <c r="M35" s="105">
        <f t="shared" si="24"/>
        <v>-39.4300829794562</v>
      </c>
    </row>
    <row r="36" s="1" customFormat="1" ht="41" customHeight="1" spans="1:13">
      <c r="A36" s="91" t="s">
        <v>39</v>
      </c>
      <c r="B36" s="92">
        <f t="shared" si="19"/>
        <v>108.3265</v>
      </c>
      <c r="C36" s="92">
        <v>100</v>
      </c>
      <c r="D36" s="92">
        <v>8.3265</v>
      </c>
      <c r="E36" s="92">
        <f t="shared" si="20"/>
        <v>240.735406</v>
      </c>
      <c r="F36" s="92">
        <f>41+158.735406</f>
        <v>199.735406</v>
      </c>
      <c r="G36" s="92">
        <v>41</v>
      </c>
      <c r="H36" s="92">
        <f t="shared" si="21"/>
        <v>132.408906</v>
      </c>
      <c r="I36" s="92">
        <f t="shared" si="22"/>
        <v>99.735406</v>
      </c>
      <c r="J36" s="92">
        <f t="shared" si="23"/>
        <v>32.6735</v>
      </c>
      <c r="K36" s="105">
        <f t="shared" si="25"/>
        <v>122.231315513748</v>
      </c>
      <c r="L36" s="105">
        <f t="shared" si="26"/>
        <v>99.735406</v>
      </c>
      <c r="M36" s="105">
        <f t="shared" si="24"/>
        <v>392.403771092296</v>
      </c>
    </row>
    <row r="37" s="1" customFormat="1" ht="41" customHeight="1" spans="1:13">
      <c r="A37" s="91" t="s">
        <v>40</v>
      </c>
      <c r="B37" s="92">
        <f t="shared" si="19"/>
        <v>32000</v>
      </c>
      <c r="C37" s="92">
        <v>32000</v>
      </c>
      <c r="D37" s="92"/>
      <c r="E37" s="92">
        <f t="shared" si="20"/>
        <v>23575</v>
      </c>
      <c r="F37" s="92">
        <f>2500+21075</f>
        <v>23575</v>
      </c>
      <c r="G37" s="92"/>
      <c r="H37" s="92">
        <f t="shared" si="21"/>
        <v>-8425</v>
      </c>
      <c r="I37" s="92">
        <f t="shared" si="22"/>
        <v>-8425</v>
      </c>
      <c r="J37" s="92">
        <f t="shared" si="23"/>
        <v>0</v>
      </c>
      <c r="K37" s="105">
        <f t="shared" si="25"/>
        <v>-26.328125</v>
      </c>
      <c r="L37" s="105">
        <f t="shared" si="26"/>
        <v>-26.328125</v>
      </c>
      <c r="M37" s="105">
        <v>0</v>
      </c>
    </row>
    <row r="38" s="2" customFormat="1" ht="41" customHeight="1" spans="1:13">
      <c r="A38" s="88" t="s">
        <v>41</v>
      </c>
      <c r="B38" s="89">
        <f t="shared" si="19"/>
        <v>204091.968</v>
      </c>
      <c r="C38" s="89">
        <f>C39+C40+C41+C49+C50+C51+C52+C53</f>
        <v>150000</v>
      </c>
      <c r="D38" s="89">
        <f>D39+D40+D41+D49+D50+D51+D52+D53</f>
        <v>54091.968</v>
      </c>
      <c r="E38" s="89">
        <f t="shared" ref="E38:J38" si="27">E39++E40+E41+E49+E50+E51+E52+E53</f>
        <v>570937.64</v>
      </c>
      <c r="F38" s="89">
        <f>F39+F40+F41+F49+F50+F51+F52+F53</f>
        <v>466781</v>
      </c>
      <c r="G38" s="89">
        <f>G39+G40+G41+G49+G50+G51+G52+G53</f>
        <v>104156.64</v>
      </c>
      <c r="H38" s="89">
        <f t="shared" si="27"/>
        <v>366845.672</v>
      </c>
      <c r="I38" s="89">
        <f t="shared" si="27"/>
        <v>316781</v>
      </c>
      <c r="J38" s="89">
        <f t="shared" si="27"/>
        <v>50064.672</v>
      </c>
      <c r="K38" s="104">
        <f t="shared" si="25"/>
        <v>179.745276404018</v>
      </c>
      <c r="L38" s="104">
        <f t="shared" si="26"/>
        <v>211.187333333333</v>
      </c>
      <c r="M38" s="104">
        <f t="shared" ref="M38:M45" si="28">(J38/D38)*100</f>
        <v>92.5547245757448</v>
      </c>
    </row>
    <row r="39" s="1" customFormat="1" ht="41" customHeight="1" spans="1:13">
      <c r="A39" s="91" t="s">
        <v>42</v>
      </c>
      <c r="B39" s="92">
        <f t="shared" si="19"/>
        <v>7944.305</v>
      </c>
      <c r="C39" s="92">
        <v>5000</v>
      </c>
      <c r="D39" s="92">
        <v>2944.305</v>
      </c>
      <c r="E39" s="92">
        <f t="shared" ref="E39:E64" si="29">F39+G39</f>
        <v>10301</v>
      </c>
      <c r="F39" s="92">
        <f>1300+7435</f>
        <v>8735</v>
      </c>
      <c r="G39" s="92">
        <v>1566</v>
      </c>
      <c r="H39" s="92">
        <f t="shared" ref="H39:H64" si="30">I39+J39</f>
        <v>2356.695</v>
      </c>
      <c r="I39" s="92">
        <f t="shared" ref="I39:I64" si="31">F39-C39</f>
        <v>3735</v>
      </c>
      <c r="J39" s="92">
        <f>G39-D39</f>
        <v>-1378.305</v>
      </c>
      <c r="K39" s="105">
        <f t="shared" si="25"/>
        <v>29.6652130047877</v>
      </c>
      <c r="L39" s="105">
        <f t="shared" si="26"/>
        <v>74.7</v>
      </c>
      <c r="M39" s="105">
        <f t="shared" si="28"/>
        <v>-46.8125754634795</v>
      </c>
    </row>
    <row r="40" s="1" customFormat="1" ht="41" customHeight="1" spans="1:13">
      <c r="A40" s="91" t="s">
        <v>43</v>
      </c>
      <c r="B40" s="92">
        <f t="shared" si="19"/>
        <v>5785.022</v>
      </c>
      <c r="C40" s="92">
        <v>5000</v>
      </c>
      <c r="D40" s="92">
        <v>785.022</v>
      </c>
      <c r="E40" s="92">
        <f t="shared" si="29"/>
        <v>5233</v>
      </c>
      <c r="F40" s="92">
        <f>600+4254</f>
        <v>4854</v>
      </c>
      <c r="G40" s="92">
        <v>379</v>
      </c>
      <c r="H40" s="92">
        <f t="shared" si="30"/>
        <v>-552.022</v>
      </c>
      <c r="I40" s="92">
        <f t="shared" si="31"/>
        <v>-146</v>
      </c>
      <c r="J40" s="92">
        <f>G40-D40</f>
        <v>-406.022</v>
      </c>
      <c r="K40" s="105">
        <f t="shared" si="25"/>
        <v>-9.54226276062563</v>
      </c>
      <c r="L40" s="105">
        <f t="shared" si="26"/>
        <v>-2.92</v>
      </c>
      <c r="M40" s="105">
        <f t="shared" si="28"/>
        <v>-51.7210982622143</v>
      </c>
    </row>
    <row r="41" s="1" customFormat="1" ht="41" customHeight="1" spans="1:13">
      <c r="A41" s="91" t="s">
        <v>44</v>
      </c>
      <c r="B41" s="92">
        <f t="shared" si="19"/>
        <v>73543.8665</v>
      </c>
      <c r="C41" s="92">
        <v>50000</v>
      </c>
      <c r="D41" s="92">
        <v>23543.8665</v>
      </c>
      <c r="E41" s="92">
        <f>E42+E43+E44+E45+E46+E47+E48</f>
        <v>42148.64</v>
      </c>
      <c r="F41" s="92">
        <f>F42+F43+F44+F45+F46+F47+F48</f>
        <v>21411</v>
      </c>
      <c r="G41" s="92">
        <v>20737.64</v>
      </c>
      <c r="H41" s="92">
        <f t="shared" ref="E41:J41" si="32">H42+H43+H44+H45+H46+H47+H48</f>
        <v>-31395.2265</v>
      </c>
      <c r="I41" s="92">
        <f t="shared" si="32"/>
        <v>-28589</v>
      </c>
      <c r="J41" s="92">
        <f t="shared" si="32"/>
        <v>-2806.2265</v>
      </c>
      <c r="K41" s="105">
        <f t="shared" si="25"/>
        <v>-42.6891160257396</v>
      </c>
      <c r="L41" s="105">
        <f t="shared" si="26"/>
        <v>-57.178</v>
      </c>
      <c r="M41" s="105">
        <f t="shared" si="28"/>
        <v>-11.9191403841846</v>
      </c>
    </row>
    <row r="42" s="1" customFormat="1" ht="41" customHeight="1" spans="1:13">
      <c r="A42" s="91" t="s">
        <v>45</v>
      </c>
      <c r="B42" s="92">
        <f t="shared" si="19"/>
        <v>14178.1715</v>
      </c>
      <c r="C42" s="92">
        <v>11000</v>
      </c>
      <c r="D42" s="92">
        <v>3178.1715</v>
      </c>
      <c r="E42" s="92">
        <f t="shared" si="29"/>
        <v>12923</v>
      </c>
      <c r="F42" s="92">
        <f>1226+8871</f>
        <v>10097</v>
      </c>
      <c r="G42" s="92">
        <v>2826</v>
      </c>
      <c r="H42" s="92">
        <f t="shared" si="30"/>
        <v>-1255.1715</v>
      </c>
      <c r="I42" s="92">
        <f t="shared" si="31"/>
        <v>-903</v>
      </c>
      <c r="J42" s="92">
        <f t="shared" ref="J39:J64" si="33">G42-D42</f>
        <v>-352.1715</v>
      </c>
      <c r="K42" s="105">
        <f t="shared" si="25"/>
        <v>-8.85284467041466</v>
      </c>
      <c r="L42" s="105">
        <f t="shared" si="26"/>
        <v>-8.20909090909091</v>
      </c>
      <c r="M42" s="105">
        <f t="shared" si="28"/>
        <v>-11.0809470162324</v>
      </c>
    </row>
    <row r="43" s="1" customFormat="1" ht="41" customHeight="1" spans="1:13">
      <c r="A43" s="91" t="s">
        <v>46</v>
      </c>
      <c r="B43" s="92">
        <f t="shared" si="19"/>
        <v>2435.9135</v>
      </c>
      <c r="C43" s="92">
        <v>1700</v>
      </c>
      <c r="D43" s="92">
        <v>735.9135</v>
      </c>
      <c r="E43" s="92">
        <f t="shared" si="29"/>
        <v>2292.5</v>
      </c>
      <c r="F43" s="92">
        <f>100+1629</f>
        <v>1729</v>
      </c>
      <c r="G43" s="92">
        <v>563.5</v>
      </c>
      <c r="H43" s="92">
        <f t="shared" si="30"/>
        <v>-143.4135</v>
      </c>
      <c r="I43" s="92">
        <f t="shared" si="31"/>
        <v>29</v>
      </c>
      <c r="J43" s="92">
        <f t="shared" si="33"/>
        <v>-172.4135</v>
      </c>
      <c r="K43" s="105">
        <f t="shared" si="25"/>
        <v>-5.88746275267985</v>
      </c>
      <c r="L43" s="105">
        <f t="shared" si="26"/>
        <v>1.70588235294118</v>
      </c>
      <c r="M43" s="105">
        <f t="shared" si="28"/>
        <v>-23.428500768093</v>
      </c>
    </row>
    <row r="44" s="1" customFormat="1" ht="41" customHeight="1" spans="1:13">
      <c r="A44" s="91" t="s">
        <v>47</v>
      </c>
      <c r="B44" s="92">
        <f t="shared" si="19"/>
        <v>23885.1</v>
      </c>
      <c r="C44" s="92">
        <v>15000</v>
      </c>
      <c r="D44" s="92">
        <v>8885.1</v>
      </c>
      <c r="E44" s="92">
        <f t="shared" si="29"/>
        <v>8420</v>
      </c>
      <c r="F44" s="92"/>
      <c r="G44" s="92">
        <v>8420</v>
      </c>
      <c r="H44" s="92">
        <f t="shared" si="30"/>
        <v>-15465.1</v>
      </c>
      <c r="I44" s="92">
        <f t="shared" si="31"/>
        <v>-15000</v>
      </c>
      <c r="J44" s="92">
        <f t="shared" si="33"/>
        <v>-465.1</v>
      </c>
      <c r="K44" s="105">
        <f t="shared" si="25"/>
        <v>-64.7478972246296</v>
      </c>
      <c r="L44" s="105">
        <f t="shared" si="26"/>
        <v>-100</v>
      </c>
      <c r="M44" s="105">
        <f t="shared" si="28"/>
        <v>-5.23460625091446</v>
      </c>
    </row>
    <row r="45" s="2" customFormat="1" ht="41" customHeight="1" spans="1:13">
      <c r="A45" s="91" t="s">
        <v>48</v>
      </c>
      <c r="B45" s="92">
        <f t="shared" si="19"/>
        <v>23885.1</v>
      </c>
      <c r="C45" s="92">
        <v>15000</v>
      </c>
      <c r="D45" s="92">
        <v>8885.1</v>
      </c>
      <c r="E45" s="92">
        <f t="shared" si="29"/>
        <v>8420</v>
      </c>
      <c r="F45" s="92"/>
      <c r="G45" s="92">
        <v>8420</v>
      </c>
      <c r="H45" s="92">
        <f t="shared" si="30"/>
        <v>-15465.1</v>
      </c>
      <c r="I45" s="92">
        <f t="shared" si="31"/>
        <v>-15000</v>
      </c>
      <c r="J45" s="92">
        <f t="shared" si="33"/>
        <v>-465.1</v>
      </c>
      <c r="K45" s="105">
        <f t="shared" si="25"/>
        <v>-64.7478972246296</v>
      </c>
      <c r="L45" s="105">
        <f t="shared" si="26"/>
        <v>-100</v>
      </c>
      <c r="M45" s="105">
        <f t="shared" si="28"/>
        <v>-5.23460625091446</v>
      </c>
    </row>
    <row r="46" s="1" customFormat="1" ht="41" customHeight="1" spans="1:13">
      <c r="A46" s="91" t="s">
        <v>49</v>
      </c>
      <c r="B46" s="92">
        <f t="shared" si="19"/>
        <v>1500</v>
      </c>
      <c r="C46" s="92">
        <v>1500</v>
      </c>
      <c r="D46" s="92"/>
      <c r="E46" s="92">
        <f t="shared" si="29"/>
        <v>1526</v>
      </c>
      <c r="F46" s="92">
        <f>100+1426</f>
        <v>1526</v>
      </c>
      <c r="G46" s="92"/>
      <c r="H46" s="92">
        <f t="shared" si="30"/>
        <v>26</v>
      </c>
      <c r="I46" s="92">
        <f t="shared" si="31"/>
        <v>26</v>
      </c>
      <c r="J46" s="92">
        <f t="shared" si="33"/>
        <v>0</v>
      </c>
      <c r="K46" s="105">
        <f t="shared" si="25"/>
        <v>1.73333333333333</v>
      </c>
      <c r="L46" s="105">
        <f t="shared" si="26"/>
        <v>1.73333333333333</v>
      </c>
      <c r="M46" s="105">
        <v>0</v>
      </c>
    </row>
    <row r="47" s="1" customFormat="1" ht="41" customHeight="1" spans="1:13">
      <c r="A47" s="91" t="s">
        <v>50</v>
      </c>
      <c r="B47" s="92">
        <f t="shared" si="19"/>
        <v>4859.5815</v>
      </c>
      <c r="C47" s="92">
        <v>3000</v>
      </c>
      <c r="D47" s="94">
        <v>1859.5815</v>
      </c>
      <c r="E47" s="92">
        <f t="shared" si="29"/>
        <v>8567.14</v>
      </c>
      <c r="F47" s="92">
        <f>1300+6759</f>
        <v>8059</v>
      </c>
      <c r="G47" s="92">
        <v>508.14</v>
      </c>
      <c r="H47" s="92">
        <f t="shared" si="30"/>
        <v>3707.5585</v>
      </c>
      <c r="I47" s="92">
        <f t="shared" si="31"/>
        <v>5059</v>
      </c>
      <c r="J47" s="92">
        <f t="shared" si="33"/>
        <v>-1351.4415</v>
      </c>
      <c r="K47" s="105">
        <f t="shared" si="25"/>
        <v>76.2937816764674</v>
      </c>
      <c r="L47" s="105">
        <f t="shared" si="26"/>
        <v>168.633333333333</v>
      </c>
      <c r="M47" s="105">
        <f>(J47/D47)*100</f>
        <v>-72.674496923098</v>
      </c>
    </row>
    <row r="48" s="1" customFormat="1" ht="41" customHeight="1" spans="1:13">
      <c r="A48" s="91" t="s">
        <v>51</v>
      </c>
      <c r="B48" s="92">
        <f t="shared" si="19"/>
        <v>2800</v>
      </c>
      <c r="C48" s="92">
        <v>2800</v>
      </c>
      <c r="D48" s="92"/>
      <c r="E48" s="92">
        <f t="shared" si="29"/>
        <v>0</v>
      </c>
      <c r="F48" s="92"/>
      <c r="G48" s="92"/>
      <c r="H48" s="92">
        <f t="shared" si="30"/>
        <v>-2800</v>
      </c>
      <c r="I48" s="92">
        <f t="shared" si="31"/>
        <v>-2800</v>
      </c>
      <c r="J48" s="92">
        <f t="shared" si="33"/>
        <v>0</v>
      </c>
      <c r="K48" s="105">
        <v>0</v>
      </c>
      <c r="L48" s="105">
        <v>0</v>
      </c>
      <c r="M48" s="105">
        <v>0</v>
      </c>
    </row>
    <row r="49" s="1" customFormat="1" ht="41" customHeight="1" spans="1:13">
      <c r="A49" s="91" t="s">
        <v>52</v>
      </c>
      <c r="B49" s="92">
        <f t="shared" si="19"/>
        <v>4500</v>
      </c>
      <c r="C49" s="92">
        <v>4500</v>
      </c>
      <c r="D49" s="92"/>
      <c r="E49" s="92">
        <f t="shared" si="29"/>
        <v>7822</v>
      </c>
      <c r="F49" s="92">
        <v>7822</v>
      </c>
      <c r="G49" s="92"/>
      <c r="H49" s="92">
        <f t="shared" si="30"/>
        <v>3322</v>
      </c>
      <c r="I49" s="92">
        <f t="shared" si="31"/>
        <v>3322</v>
      </c>
      <c r="J49" s="92">
        <f t="shared" si="33"/>
        <v>0</v>
      </c>
      <c r="K49" s="105">
        <f t="shared" ref="K49:K52" si="34">H49/B49*100</f>
        <v>73.8222222222222</v>
      </c>
      <c r="L49" s="105">
        <f t="shared" ref="L49:L52" si="35">(F49-C49)/C49*100</f>
        <v>73.8222222222222</v>
      </c>
      <c r="M49" s="105">
        <v>0</v>
      </c>
    </row>
    <row r="50" s="1" customFormat="1" ht="41" customHeight="1" spans="1:13">
      <c r="A50" s="91" t="s">
        <v>53</v>
      </c>
      <c r="B50" s="92">
        <f t="shared" si="19"/>
        <v>111718.7745</v>
      </c>
      <c r="C50" s="92">
        <v>84900</v>
      </c>
      <c r="D50" s="92">
        <v>26818.7745</v>
      </c>
      <c r="E50" s="92">
        <f t="shared" si="29"/>
        <v>505196</v>
      </c>
      <c r="F50" s="92">
        <v>423722</v>
      </c>
      <c r="G50" s="92">
        <v>81474</v>
      </c>
      <c r="H50" s="92">
        <f t="shared" si="30"/>
        <v>393477.2255</v>
      </c>
      <c r="I50" s="92">
        <f t="shared" si="31"/>
        <v>338822</v>
      </c>
      <c r="J50" s="92">
        <f t="shared" si="33"/>
        <v>54655.2255</v>
      </c>
      <c r="K50" s="105">
        <f t="shared" si="34"/>
        <v>352.20331341891</v>
      </c>
      <c r="L50" s="105">
        <f t="shared" si="35"/>
        <v>399.083627797409</v>
      </c>
      <c r="M50" s="105">
        <f>(J50/D50)*100</f>
        <v>203.794642070614</v>
      </c>
    </row>
    <row r="51" s="1" customFormat="1" ht="41" customHeight="1" spans="1:13">
      <c r="A51" s="91" t="s">
        <v>54</v>
      </c>
      <c r="B51" s="92">
        <f t="shared" si="19"/>
        <v>0</v>
      </c>
      <c r="C51" s="92">
        <v>0</v>
      </c>
      <c r="D51" s="92"/>
      <c r="E51" s="92">
        <f t="shared" si="29"/>
        <v>120</v>
      </c>
      <c r="F51" s="92">
        <v>120</v>
      </c>
      <c r="G51" s="92"/>
      <c r="H51" s="92">
        <f t="shared" si="30"/>
        <v>120</v>
      </c>
      <c r="I51" s="92">
        <f t="shared" si="31"/>
        <v>120</v>
      </c>
      <c r="J51" s="92">
        <f t="shared" si="33"/>
        <v>0</v>
      </c>
      <c r="K51" s="105"/>
      <c r="L51" s="105"/>
      <c r="M51" s="105">
        <v>0</v>
      </c>
    </row>
    <row r="52" s="1" customFormat="1" ht="41" customHeight="1" spans="1:13">
      <c r="A52" s="91" t="s">
        <v>55</v>
      </c>
      <c r="B52" s="92">
        <f t="shared" si="19"/>
        <v>600</v>
      </c>
      <c r="C52" s="92">
        <v>600</v>
      </c>
      <c r="D52" s="92"/>
      <c r="E52" s="92">
        <f t="shared" si="29"/>
        <v>117</v>
      </c>
      <c r="F52" s="92">
        <v>117</v>
      </c>
      <c r="G52" s="92"/>
      <c r="H52" s="92">
        <f t="shared" si="30"/>
        <v>-483</v>
      </c>
      <c r="I52" s="92">
        <f t="shared" si="31"/>
        <v>-483</v>
      </c>
      <c r="J52" s="92">
        <f t="shared" si="33"/>
        <v>0</v>
      </c>
      <c r="K52" s="105">
        <f t="shared" si="34"/>
        <v>-80.5</v>
      </c>
      <c r="L52" s="105">
        <f t="shared" si="35"/>
        <v>-80.5</v>
      </c>
      <c r="M52" s="105">
        <v>0</v>
      </c>
    </row>
    <row r="53" s="1" customFormat="1" ht="41" customHeight="1" spans="1:13">
      <c r="A53" s="91" t="s">
        <v>56</v>
      </c>
      <c r="B53" s="92">
        <f t="shared" si="19"/>
        <v>0</v>
      </c>
      <c r="C53" s="92">
        <v>0</v>
      </c>
      <c r="D53" s="92"/>
      <c r="E53" s="92">
        <f t="shared" si="29"/>
        <v>0</v>
      </c>
      <c r="F53" s="92"/>
      <c r="G53" s="92"/>
      <c r="H53" s="92">
        <f t="shared" si="30"/>
        <v>0</v>
      </c>
      <c r="I53" s="92">
        <f t="shared" si="31"/>
        <v>0</v>
      </c>
      <c r="J53" s="92">
        <f t="shared" si="33"/>
        <v>0</v>
      </c>
      <c r="K53" s="105">
        <v>0</v>
      </c>
      <c r="L53" s="105">
        <v>0</v>
      </c>
      <c r="M53" s="105">
        <v>0</v>
      </c>
    </row>
    <row r="54" s="1" customFormat="1" ht="41" customHeight="1" spans="1:13">
      <c r="A54" s="88" t="s">
        <v>57</v>
      </c>
      <c r="B54" s="92">
        <f t="shared" si="19"/>
        <v>0</v>
      </c>
      <c r="C54" s="92">
        <v>0</v>
      </c>
      <c r="D54" s="92">
        <v>0</v>
      </c>
      <c r="E54" s="92">
        <f t="shared" si="29"/>
        <v>0</v>
      </c>
      <c r="F54" s="92"/>
      <c r="G54" s="92"/>
      <c r="H54" s="92">
        <f t="shared" si="30"/>
        <v>0</v>
      </c>
      <c r="I54" s="92">
        <f t="shared" si="31"/>
        <v>0</v>
      </c>
      <c r="J54" s="92">
        <f t="shared" si="33"/>
        <v>0</v>
      </c>
      <c r="K54" s="105">
        <v>0</v>
      </c>
      <c r="L54" s="105">
        <v>0</v>
      </c>
      <c r="M54" s="105">
        <v>0</v>
      </c>
    </row>
    <row r="55" s="1" customFormat="1" ht="41" customHeight="1" spans="1:20">
      <c r="A55" s="88" t="s">
        <v>58</v>
      </c>
      <c r="B55" s="92">
        <f t="shared" ref="B55:G55" si="36">B56+B60</f>
        <v>1565000</v>
      </c>
      <c r="C55" s="92">
        <f t="shared" si="36"/>
        <v>1100000</v>
      </c>
      <c r="D55" s="92">
        <f t="shared" si="36"/>
        <v>465000</v>
      </c>
      <c r="E55" s="92">
        <f t="shared" si="29"/>
        <v>358314</v>
      </c>
      <c r="F55" s="95">
        <f>F56+F60</f>
        <v>216700</v>
      </c>
      <c r="G55" s="95">
        <f>G56+G60</f>
        <v>141614</v>
      </c>
      <c r="H55" s="92">
        <f t="shared" si="30"/>
        <v>-1206686</v>
      </c>
      <c r="I55" s="92">
        <f t="shared" si="31"/>
        <v>-883300</v>
      </c>
      <c r="J55" s="92">
        <f t="shared" si="33"/>
        <v>-323386</v>
      </c>
      <c r="K55" s="105">
        <f t="shared" ref="K55:K62" si="37">H55/B55*100</f>
        <v>-77.1045367412141</v>
      </c>
      <c r="L55" s="105">
        <f t="shared" ref="L55:L62" si="38">(F55-C55)/C55*100</f>
        <v>-80.3</v>
      </c>
      <c r="M55" s="105">
        <f t="shared" ref="M55:M58" si="39">(J55/D55)*100</f>
        <v>-69.545376344086</v>
      </c>
      <c r="R55" s="106"/>
      <c r="S55" s="106"/>
      <c r="T55" s="106"/>
    </row>
    <row r="56" s="1" customFormat="1" ht="41" customHeight="1" spans="1:20">
      <c r="A56" s="91" t="s">
        <v>59</v>
      </c>
      <c r="B56" s="92">
        <f>SUM(B57:B59)</f>
        <v>1553000</v>
      </c>
      <c r="C56" s="92">
        <f>SUM(C57:C59)</f>
        <v>1090000</v>
      </c>
      <c r="D56" s="92">
        <f>SUM(D57:D59)</f>
        <v>463000</v>
      </c>
      <c r="E56" s="92">
        <f t="shared" si="29"/>
        <v>350986</v>
      </c>
      <c r="F56" s="95">
        <f>SUM(F57:F59)</f>
        <v>210000</v>
      </c>
      <c r="G56" s="95">
        <f>SUM(G57:G59)</f>
        <v>140986</v>
      </c>
      <c r="H56" s="92">
        <f t="shared" si="30"/>
        <v>-1202014</v>
      </c>
      <c r="I56" s="92">
        <f t="shared" si="31"/>
        <v>-880000</v>
      </c>
      <c r="J56" s="92">
        <f t="shared" si="33"/>
        <v>-322014</v>
      </c>
      <c r="K56" s="105">
        <f t="shared" si="37"/>
        <v>-77.3994848679974</v>
      </c>
      <c r="L56" s="105">
        <f t="shared" si="38"/>
        <v>-80.7339449541284</v>
      </c>
      <c r="M56" s="105">
        <f t="shared" si="39"/>
        <v>-69.5494600431965</v>
      </c>
      <c r="R56" s="106"/>
      <c r="S56" s="106"/>
      <c r="T56" s="106"/>
    </row>
    <row r="57" s="1" customFormat="1" ht="41" customHeight="1" spans="1:13">
      <c r="A57" s="91" t="s">
        <v>60</v>
      </c>
      <c r="B57" s="92">
        <f t="shared" ref="B57:B64" si="40">C57+D57</f>
        <v>1518610</v>
      </c>
      <c r="C57" s="92">
        <v>1069500</v>
      </c>
      <c r="D57" s="92">
        <v>449110</v>
      </c>
      <c r="E57" s="92">
        <f t="shared" si="29"/>
        <v>344676</v>
      </c>
      <c r="F57" s="92">
        <f>210000-6000-310</f>
        <v>203690</v>
      </c>
      <c r="G57" s="92">
        <v>140986</v>
      </c>
      <c r="H57" s="92">
        <f t="shared" si="30"/>
        <v>-1173934</v>
      </c>
      <c r="I57" s="92">
        <f t="shared" si="31"/>
        <v>-865810</v>
      </c>
      <c r="J57" s="92">
        <f t="shared" si="33"/>
        <v>-308124</v>
      </c>
      <c r="K57" s="105">
        <f t="shared" si="37"/>
        <v>-77.3031917345467</v>
      </c>
      <c r="L57" s="105">
        <f t="shared" si="38"/>
        <v>-80.9546517064049</v>
      </c>
      <c r="M57" s="105">
        <f t="shared" si="39"/>
        <v>-68.607690766182</v>
      </c>
    </row>
    <row r="58" s="1" customFormat="1" ht="41" customHeight="1" spans="1:13">
      <c r="A58" s="91" t="s">
        <v>61</v>
      </c>
      <c r="B58" s="92">
        <f t="shared" si="40"/>
        <v>33890</v>
      </c>
      <c r="C58" s="92">
        <v>20000</v>
      </c>
      <c r="D58" s="92">
        <v>13890</v>
      </c>
      <c r="E58" s="92">
        <f t="shared" si="29"/>
        <v>6000</v>
      </c>
      <c r="F58" s="92">
        <v>6000</v>
      </c>
      <c r="G58" s="92"/>
      <c r="H58" s="92">
        <f t="shared" si="30"/>
        <v>-27890</v>
      </c>
      <c r="I58" s="92">
        <f t="shared" si="31"/>
        <v>-14000</v>
      </c>
      <c r="J58" s="92">
        <f t="shared" si="33"/>
        <v>-13890</v>
      </c>
      <c r="K58" s="105">
        <f t="shared" si="37"/>
        <v>-82.2956624372971</v>
      </c>
      <c r="L58" s="105">
        <f t="shared" si="38"/>
        <v>-70</v>
      </c>
      <c r="M58" s="105">
        <f t="shared" si="39"/>
        <v>-100</v>
      </c>
    </row>
    <row r="59" s="1" customFormat="1" ht="41" customHeight="1" spans="1:13">
      <c r="A59" s="91" t="s">
        <v>62</v>
      </c>
      <c r="B59" s="92">
        <f t="shared" si="40"/>
        <v>500</v>
      </c>
      <c r="C59" s="92">
        <v>500</v>
      </c>
      <c r="D59" s="92"/>
      <c r="E59" s="92">
        <f t="shared" si="29"/>
        <v>310</v>
      </c>
      <c r="F59" s="92">
        <v>310</v>
      </c>
      <c r="G59" s="92"/>
      <c r="H59" s="92">
        <f t="shared" si="30"/>
        <v>-190</v>
      </c>
      <c r="I59" s="92">
        <f t="shared" si="31"/>
        <v>-190</v>
      </c>
      <c r="J59" s="92">
        <f t="shared" si="33"/>
        <v>0</v>
      </c>
      <c r="K59" s="105">
        <f t="shared" si="37"/>
        <v>-38</v>
      </c>
      <c r="L59" s="105">
        <f t="shared" si="38"/>
        <v>-38</v>
      </c>
      <c r="M59" s="105">
        <v>0</v>
      </c>
    </row>
    <row r="60" s="1" customFormat="1" ht="41" customHeight="1" spans="1:13">
      <c r="A60" s="91" t="s">
        <v>63</v>
      </c>
      <c r="B60" s="92">
        <f t="shared" si="40"/>
        <v>12000</v>
      </c>
      <c r="C60" s="95">
        <f>SUM(C61:C64)</f>
        <v>10000</v>
      </c>
      <c r="D60" s="95">
        <f>SUM(D61:D64)</f>
        <v>2000</v>
      </c>
      <c r="E60" s="92">
        <f t="shared" si="29"/>
        <v>7328</v>
      </c>
      <c r="F60" s="95">
        <f>SUM(F61:F64)</f>
        <v>6700</v>
      </c>
      <c r="G60" s="95">
        <f>SUM(G61:G64)</f>
        <v>628</v>
      </c>
      <c r="H60" s="92">
        <f t="shared" si="30"/>
        <v>-4672</v>
      </c>
      <c r="I60" s="92">
        <f t="shared" si="31"/>
        <v>-3300</v>
      </c>
      <c r="J60" s="92">
        <f t="shared" si="33"/>
        <v>-1372</v>
      </c>
      <c r="K60" s="105">
        <f t="shared" si="37"/>
        <v>-38.9333333333333</v>
      </c>
      <c r="L60" s="105">
        <f t="shared" si="38"/>
        <v>-33</v>
      </c>
      <c r="M60" s="105">
        <f>(J60/D60)*100</f>
        <v>-68.6</v>
      </c>
    </row>
    <row r="61" s="1" customFormat="1" ht="41" customHeight="1" spans="1:13">
      <c r="A61" s="91" t="s">
        <v>64</v>
      </c>
      <c r="B61" s="92">
        <f t="shared" si="40"/>
        <v>7000</v>
      </c>
      <c r="C61" s="92">
        <v>5000</v>
      </c>
      <c r="D61" s="92">
        <v>2000</v>
      </c>
      <c r="E61" s="92">
        <f t="shared" si="29"/>
        <v>1428</v>
      </c>
      <c r="F61" s="92">
        <v>800</v>
      </c>
      <c r="G61" s="92">
        <v>628</v>
      </c>
      <c r="H61" s="92">
        <f t="shared" si="30"/>
        <v>-5572</v>
      </c>
      <c r="I61" s="92">
        <f t="shared" si="31"/>
        <v>-4200</v>
      </c>
      <c r="J61" s="92">
        <f t="shared" si="33"/>
        <v>-1372</v>
      </c>
      <c r="K61" s="105">
        <f t="shared" si="37"/>
        <v>-79.6</v>
      </c>
      <c r="L61" s="105">
        <f t="shared" si="38"/>
        <v>-84</v>
      </c>
      <c r="M61" s="105">
        <f>(J61/D61)*100</f>
        <v>-68.6</v>
      </c>
    </row>
    <row r="62" s="2" customFormat="1" ht="41" customHeight="1" spans="1:13">
      <c r="A62" s="91" t="s">
        <v>65</v>
      </c>
      <c r="B62" s="92">
        <f t="shared" si="40"/>
        <v>1000</v>
      </c>
      <c r="C62" s="92">
        <v>1000</v>
      </c>
      <c r="D62" s="92"/>
      <c r="E62" s="92">
        <f t="shared" si="29"/>
        <v>1400</v>
      </c>
      <c r="F62" s="92">
        <v>1400</v>
      </c>
      <c r="G62" s="92"/>
      <c r="H62" s="92">
        <f t="shared" si="30"/>
        <v>400</v>
      </c>
      <c r="I62" s="92">
        <f t="shared" si="31"/>
        <v>400</v>
      </c>
      <c r="J62" s="92">
        <f t="shared" si="33"/>
        <v>0</v>
      </c>
      <c r="K62" s="105">
        <f t="shared" si="37"/>
        <v>40</v>
      </c>
      <c r="L62" s="105">
        <f t="shared" si="38"/>
        <v>40</v>
      </c>
      <c r="M62" s="105">
        <v>0</v>
      </c>
    </row>
    <row r="63" s="2" customFormat="1" ht="41" customHeight="1" spans="1:13">
      <c r="A63" s="91" t="s">
        <v>66</v>
      </c>
      <c r="B63" s="92">
        <f t="shared" si="40"/>
        <v>4000</v>
      </c>
      <c r="C63" s="92">
        <v>4000</v>
      </c>
      <c r="D63" s="92"/>
      <c r="E63" s="92">
        <f t="shared" si="29"/>
        <v>4500</v>
      </c>
      <c r="F63" s="92">
        <v>4500</v>
      </c>
      <c r="G63" s="92"/>
      <c r="H63" s="92">
        <f t="shared" si="30"/>
        <v>500</v>
      </c>
      <c r="I63" s="92">
        <f t="shared" si="31"/>
        <v>500</v>
      </c>
      <c r="J63" s="92">
        <f t="shared" si="33"/>
        <v>0</v>
      </c>
      <c r="K63" s="105">
        <v>0</v>
      </c>
      <c r="L63" s="105">
        <v>0</v>
      </c>
      <c r="M63" s="105">
        <v>0</v>
      </c>
    </row>
    <row r="64" s="1" customFormat="1" ht="41" hidden="1" customHeight="1" spans="1:13">
      <c r="A64" s="91" t="s">
        <v>67</v>
      </c>
      <c r="B64" s="92">
        <f t="shared" si="40"/>
        <v>0</v>
      </c>
      <c r="C64" s="92"/>
      <c r="D64" s="92"/>
      <c r="E64" s="92">
        <f t="shared" si="29"/>
        <v>0</v>
      </c>
      <c r="F64" s="92"/>
      <c r="G64" s="92"/>
      <c r="H64" s="92">
        <f t="shared" si="30"/>
        <v>0</v>
      </c>
      <c r="I64" s="92">
        <f t="shared" si="31"/>
        <v>0</v>
      </c>
      <c r="J64" s="92">
        <f t="shared" si="33"/>
        <v>0</v>
      </c>
      <c r="K64" s="105" t="e">
        <f>H64/B64*100</f>
        <v>#DIV/0!</v>
      </c>
      <c r="L64" s="105" t="e">
        <f>(F64-C64)/C64*100</f>
        <v>#DIV/0!</v>
      </c>
      <c r="M64" s="105">
        <v>0</v>
      </c>
    </row>
  </sheetData>
  <mergeCells count="9">
    <mergeCell ref="A1:M1"/>
    <mergeCell ref="A2:B2"/>
    <mergeCell ref="E2:G2"/>
    <mergeCell ref="H2:M2"/>
    <mergeCell ref="B3:D3"/>
    <mergeCell ref="E3:G3"/>
    <mergeCell ref="H3:J3"/>
    <mergeCell ref="K3:M3"/>
    <mergeCell ref="A3:A4"/>
  </mergeCells>
  <pageMargins left="0.708333333333333" right="0.708333333333333" top="0.747916666666667" bottom="0.747916666666667" header="0.314583333333333" footer="0.314583333333333"/>
  <pageSetup paperSize="9" scale="83" fitToHeight="0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81"/>
  <sheetViews>
    <sheetView showZeros="0" view="pageBreakPreview" zoomScaleNormal="100" workbookViewId="0">
      <pane xSplit="1" ySplit="4" topLeftCell="B38" activePane="bottomRight" state="frozen"/>
      <selection/>
      <selection pane="topRight"/>
      <selection pane="bottomLeft"/>
      <selection pane="bottomRight" activeCell="F34" sqref="F34"/>
    </sheetView>
  </sheetViews>
  <sheetFormatPr defaultColWidth="9" defaultRowHeight="14.25"/>
  <cols>
    <col min="1" max="1" width="27.5" style="30" customWidth="1"/>
    <col min="2" max="2" width="14.25" style="30" customWidth="1"/>
    <col min="3" max="4" width="12.125" style="30" customWidth="1"/>
    <col min="5" max="5" width="14.625" style="30" customWidth="1"/>
    <col min="6" max="7" width="11.25" style="30" customWidth="1"/>
    <col min="8" max="9" width="12.625" style="30" customWidth="1"/>
    <col min="10" max="10" width="13.25" style="30" customWidth="1"/>
    <col min="11" max="11" width="13" style="33" customWidth="1"/>
    <col min="12" max="12" width="13.25" style="33" customWidth="1"/>
    <col min="13" max="13" width="11.875" style="33" customWidth="1"/>
    <col min="14" max="14" width="10.375" style="30" customWidth="1"/>
    <col min="15" max="16384" width="9" style="30"/>
  </cols>
  <sheetData>
    <row r="1" s="30" customFormat="1" ht="27" customHeight="1" spans="1:14">
      <c r="A1" s="34" t="s">
        <v>68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="31" customFormat="1" ht="30" customHeight="1" spans="1:19">
      <c r="A2" s="35" t="s">
        <v>69</v>
      </c>
      <c r="B2" s="35"/>
      <c r="C2" s="36"/>
      <c r="D2" s="36"/>
      <c r="E2" s="37" t="str">
        <f>附表1收入调整表2022!E2</f>
        <v>编制日期：2022年12月</v>
      </c>
      <c r="F2" s="37"/>
      <c r="G2" s="37"/>
      <c r="H2" s="37"/>
      <c r="I2" s="37"/>
      <c r="J2" s="36"/>
      <c r="K2" s="36"/>
      <c r="L2" s="55"/>
      <c r="M2" s="56" t="s">
        <v>3</v>
      </c>
      <c r="N2" s="56"/>
      <c r="O2" s="57"/>
      <c r="P2" s="57"/>
      <c r="Q2" s="57"/>
      <c r="R2" s="57"/>
      <c r="S2" s="57"/>
    </row>
    <row r="3" s="30" customFormat="1" ht="27.75" customHeight="1" spans="1:14">
      <c r="A3" s="38" t="s">
        <v>70</v>
      </c>
      <c r="B3" s="39" t="s">
        <v>71</v>
      </c>
      <c r="C3" s="40"/>
      <c r="D3" s="41"/>
      <c r="E3" s="39" t="s">
        <v>6</v>
      </c>
      <c r="F3" s="40"/>
      <c r="G3" s="41"/>
      <c r="H3" s="39" t="s">
        <v>72</v>
      </c>
      <c r="I3" s="40"/>
      <c r="J3" s="41"/>
      <c r="K3" s="58" t="s">
        <v>73</v>
      </c>
      <c r="L3" s="59"/>
      <c r="M3" s="60"/>
      <c r="N3" s="61" t="s">
        <v>74</v>
      </c>
    </row>
    <row r="4" s="30" customFormat="1" ht="27.75" customHeight="1" spans="1:14">
      <c r="A4" s="42"/>
      <c r="B4" s="43" t="s">
        <v>9</v>
      </c>
      <c r="C4" s="43" t="s">
        <v>10</v>
      </c>
      <c r="D4" s="43" t="s">
        <v>11</v>
      </c>
      <c r="E4" s="43" t="s">
        <v>9</v>
      </c>
      <c r="F4" s="43" t="s">
        <v>10</v>
      </c>
      <c r="G4" s="43" t="s">
        <v>11</v>
      </c>
      <c r="H4" s="43" t="s">
        <v>9</v>
      </c>
      <c r="I4" s="61" t="s">
        <v>10</v>
      </c>
      <c r="J4" s="43" t="s">
        <v>11</v>
      </c>
      <c r="K4" s="62" t="s">
        <v>9</v>
      </c>
      <c r="L4" s="63" t="s">
        <v>10</v>
      </c>
      <c r="M4" s="62" t="s">
        <v>11</v>
      </c>
      <c r="N4" s="64"/>
    </row>
    <row r="5" s="30" customFormat="1" ht="28.5" customHeight="1" spans="1:14">
      <c r="A5" s="44" t="s">
        <v>75</v>
      </c>
      <c r="B5" s="45">
        <f t="shared" ref="B5:B18" si="0">C5+D5</f>
        <v>953266.0865</v>
      </c>
      <c r="C5" s="46">
        <f>附表1收入调整表2022!C9</f>
        <v>748328</v>
      </c>
      <c r="D5" s="46">
        <f>附表1收入调整表2022!D9</f>
        <v>204938.0865</v>
      </c>
      <c r="E5" s="45">
        <f t="shared" ref="E5:E11" si="1">F5+G5</f>
        <v>997784.120434</v>
      </c>
      <c r="F5" s="46">
        <f>附表1收入调整表2022!F9</f>
        <v>783622.990434</v>
      </c>
      <c r="G5" s="46">
        <f>附表1收入调整表2022!G9</f>
        <v>214161.13</v>
      </c>
      <c r="H5" s="47">
        <f t="shared" ref="H5:H21" si="2">E5-B5</f>
        <v>44518.0339340001</v>
      </c>
      <c r="I5" s="47">
        <f t="shared" ref="I5:I21" si="3">F5-C5</f>
        <v>35294.990434</v>
      </c>
      <c r="J5" s="46">
        <f t="shared" ref="J5:J21" si="4">G5-D5</f>
        <v>9223.04350000003</v>
      </c>
      <c r="K5" s="65">
        <f t="shared" ref="K5:K12" si="5">H5/B5*100</f>
        <v>4.67005325841937</v>
      </c>
      <c r="L5" s="65">
        <f t="shared" ref="L5:L12" si="6">I5/C5*100</f>
        <v>4.71651340508441</v>
      </c>
      <c r="M5" s="66">
        <f>J5/D5*100</f>
        <v>4.50040480884456</v>
      </c>
      <c r="N5" s="67"/>
    </row>
    <row r="6" s="30" customFormat="1" ht="28.5" customHeight="1" spans="1:14">
      <c r="A6" s="44" t="s">
        <v>76</v>
      </c>
      <c r="B6" s="45">
        <f t="shared" si="0"/>
        <v>89759.64</v>
      </c>
      <c r="C6" s="47">
        <f t="shared" ref="C6:G6" si="7">C7+C12</f>
        <v>89759.64</v>
      </c>
      <c r="D6" s="47">
        <f t="shared" si="7"/>
        <v>0</v>
      </c>
      <c r="E6" s="45">
        <f t="shared" si="1"/>
        <v>118427.212</v>
      </c>
      <c r="F6" s="47">
        <f>F7+F12</f>
        <v>114145.212</v>
      </c>
      <c r="G6" s="47">
        <f t="shared" si="7"/>
        <v>4282</v>
      </c>
      <c r="H6" s="47">
        <f t="shared" si="2"/>
        <v>28667.572</v>
      </c>
      <c r="I6" s="47">
        <f>F6-C6-0.5</f>
        <v>24385.072</v>
      </c>
      <c r="J6" s="46">
        <f t="shared" si="4"/>
        <v>4282</v>
      </c>
      <c r="K6" s="65">
        <f t="shared" si="5"/>
        <v>31.9381539409026</v>
      </c>
      <c r="L6" s="65">
        <f t="shared" si="6"/>
        <v>27.1670786558413</v>
      </c>
      <c r="M6" s="66"/>
      <c r="N6" s="67"/>
    </row>
    <row r="7" s="30" customFormat="1" ht="28.5" customHeight="1" spans="1:14">
      <c r="A7" s="44" t="s">
        <v>77</v>
      </c>
      <c r="B7" s="45">
        <f t="shared" si="0"/>
        <v>36516</v>
      </c>
      <c r="C7" s="45">
        <v>36516</v>
      </c>
      <c r="D7" s="45">
        <v>0</v>
      </c>
      <c r="E7" s="45">
        <f t="shared" si="1"/>
        <v>36516</v>
      </c>
      <c r="F7" s="45">
        <v>36516</v>
      </c>
      <c r="G7" s="45">
        <v>0</v>
      </c>
      <c r="H7" s="47">
        <f t="shared" si="2"/>
        <v>0</v>
      </c>
      <c r="I7" s="47">
        <f t="shared" si="3"/>
        <v>0</v>
      </c>
      <c r="J7" s="46">
        <f t="shared" si="4"/>
        <v>0</v>
      </c>
      <c r="K7" s="65">
        <f t="shared" si="5"/>
        <v>0</v>
      </c>
      <c r="L7" s="65">
        <f t="shared" si="6"/>
        <v>0</v>
      </c>
      <c r="M7" s="66">
        <v>0</v>
      </c>
      <c r="N7" s="67"/>
    </row>
    <row r="8" s="30" customFormat="1" ht="28.5" customHeight="1" spans="1:14">
      <c r="A8" s="48" t="s">
        <v>78</v>
      </c>
      <c r="B8" s="45">
        <f t="shared" si="0"/>
        <v>3181</v>
      </c>
      <c r="C8" s="47">
        <v>3181</v>
      </c>
      <c r="D8" s="47">
        <v>0</v>
      </c>
      <c r="E8" s="45">
        <f t="shared" si="1"/>
        <v>3181</v>
      </c>
      <c r="F8" s="47">
        <v>3181</v>
      </c>
      <c r="G8" s="47">
        <v>0</v>
      </c>
      <c r="H8" s="47">
        <f t="shared" si="2"/>
        <v>0</v>
      </c>
      <c r="I8" s="47">
        <f t="shared" si="3"/>
        <v>0</v>
      </c>
      <c r="J8" s="46">
        <f t="shared" si="4"/>
        <v>0</v>
      </c>
      <c r="K8" s="65">
        <f t="shared" si="5"/>
        <v>0</v>
      </c>
      <c r="L8" s="65">
        <f t="shared" si="6"/>
        <v>0</v>
      </c>
      <c r="M8" s="66">
        <v>0</v>
      </c>
      <c r="N8" s="67" t="s">
        <v>79</v>
      </c>
    </row>
    <row r="9" s="30" customFormat="1" ht="28.5" customHeight="1" spans="1:14">
      <c r="A9" s="48" t="s">
        <v>80</v>
      </c>
      <c r="B9" s="45">
        <f t="shared" si="0"/>
        <v>3409</v>
      </c>
      <c r="C9" s="47">
        <v>3409</v>
      </c>
      <c r="D9" s="47">
        <v>0</v>
      </c>
      <c r="E9" s="45">
        <f t="shared" si="1"/>
        <v>3409</v>
      </c>
      <c r="F9" s="47">
        <v>3409</v>
      </c>
      <c r="G9" s="47">
        <v>0</v>
      </c>
      <c r="H9" s="47">
        <f t="shared" si="2"/>
        <v>0</v>
      </c>
      <c r="I9" s="47">
        <f t="shared" si="3"/>
        <v>0</v>
      </c>
      <c r="J9" s="46">
        <f t="shared" si="4"/>
        <v>0</v>
      </c>
      <c r="K9" s="65">
        <f t="shared" si="5"/>
        <v>0</v>
      </c>
      <c r="L9" s="65">
        <f t="shared" si="6"/>
        <v>0</v>
      </c>
      <c r="M9" s="66">
        <v>0</v>
      </c>
      <c r="N9" s="67" t="s">
        <v>79</v>
      </c>
    </row>
    <row r="10" s="30" customFormat="1" ht="28.5" customHeight="1" spans="1:14">
      <c r="A10" s="48" t="s">
        <v>81</v>
      </c>
      <c r="B10" s="45">
        <f t="shared" si="0"/>
        <v>427</v>
      </c>
      <c r="C10" s="47">
        <v>427</v>
      </c>
      <c r="D10" s="47">
        <v>0</v>
      </c>
      <c r="E10" s="45">
        <f t="shared" si="1"/>
        <v>427</v>
      </c>
      <c r="F10" s="47">
        <v>427</v>
      </c>
      <c r="G10" s="47">
        <v>0</v>
      </c>
      <c r="H10" s="47">
        <f t="shared" si="2"/>
        <v>0</v>
      </c>
      <c r="I10" s="47">
        <f t="shared" si="3"/>
        <v>0</v>
      </c>
      <c r="J10" s="46">
        <f t="shared" si="4"/>
        <v>0</v>
      </c>
      <c r="K10" s="65">
        <f t="shared" si="5"/>
        <v>0</v>
      </c>
      <c r="L10" s="65">
        <f t="shared" si="6"/>
        <v>0</v>
      </c>
      <c r="M10" s="66">
        <v>0</v>
      </c>
      <c r="N10" s="67" t="s">
        <v>79</v>
      </c>
    </row>
    <row r="11" s="30" customFormat="1" ht="28.5" customHeight="1" spans="1:14">
      <c r="A11" s="48" t="s">
        <v>82</v>
      </c>
      <c r="B11" s="45">
        <f t="shared" si="0"/>
        <v>29499</v>
      </c>
      <c r="C11" s="47">
        <v>29499</v>
      </c>
      <c r="D11" s="47">
        <v>0</v>
      </c>
      <c r="E11" s="45">
        <f t="shared" si="1"/>
        <v>29499</v>
      </c>
      <c r="F11" s="47">
        <v>29499</v>
      </c>
      <c r="G11" s="47">
        <v>0</v>
      </c>
      <c r="H11" s="47">
        <f t="shared" si="2"/>
        <v>0</v>
      </c>
      <c r="I11" s="47">
        <f t="shared" si="3"/>
        <v>0</v>
      </c>
      <c r="J11" s="46">
        <f t="shared" si="4"/>
        <v>0</v>
      </c>
      <c r="K11" s="65">
        <f t="shared" si="5"/>
        <v>0</v>
      </c>
      <c r="L11" s="65">
        <f t="shared" si="6"/>
        <v>0</v>
      </c>
      <c r="M11" s="66">
        <v>0</v>
      </c>
      <c r="N11" s="67" t="s">
        <v>79</v>
      </c>
    </row>
    <row r="12" s="30" customFormat="1" ht="28.5" customHeight="1" spans="1:14">
      <c r="A12" s="44" t="s">
        <v>83</v>
      </c>
      <c r="B12" s="47">
        <f t="shared" ref="B12:G12" si="8">B13+B14+B19+B22+B29+B30+B31+B32+B33+B34+B35+B36+B37+B38+B39+B40+B41+B42+B43+B47+B44+B45+B46</f>
        <v>53243.64</v>
      </c>
      <c r="C12" s="47">
        <f t="shared" si="8"/>
        <v>53243.64</v>
      </c>
      <c r="D12" s="47">
        <f t="shared" si="8"/>
        <v>0</v>
      </c>
      <c r="E12" s="45">
        <f t="shared" si="8"/>
        <v>78665.212</v>
      </c>
      <c r="F12" s="47">
        <f t="shared" si="8"/>
        <v>77629.212</v>
      </c>
      <c r="G12" s="47">
        <f t="shared" si="8"/>
        <v>4282</v>
      </c>
      <c r="H12" s="47">
        <f t="shared" si="2"/>
        <v>25421.572</v>
      </c>
      <c r="I12" s="47">
        <f t="shared" si="3"/>
        <v>24385.572</v>
      </c>
      <c r="J12" s="46">
        <f t="shared" si="4"/>
        <v>4282</v>
      </c>
      <c r="K12" s="65">
        <f t="shared" si="5"/>
        <v>47.7457439048119</v>
      </c>
      <c r="L12" s="65">
        <f t="shared" si="6"/>
        <v>45.7999716022421</v>
      </c>
      <c r="M12" s="66">
        <v>0</v>
      </c>
      <c r="N12" s="67"/>
    </row>
    <row r="13" s="30" customFormat="1" ht="28.5" customHeight="1" spans="1:14">
      <c r="A13" s="44" t="s">
        <v>84</v>
      </c>
      <c r="B13" s="45">
        <f t="shared" si="0"/>
        <v>0</v>
      </c>
      <c r="C13" s="47"/>
      <c r="D13" s="47">
        <v>0</v>
      </c>
      <c r="E13" s="45">
        <f t="shared" ref="E13:E18" si="9">F13+G13</f>
        <v>30</v>
      </c>
      <c r="F13" s="47">
        <v>30</v>
      </c>
      <c r="G13" s="47">
        <v>0</v>
      </c>
      <c r="H13" s="47">
        <f t="shared" si="2"/>
        <v>30</v>
      </c>
      <c r="I13" s="47">
        <f t="shared" si="3"/>
        <v>30</v>
      </c>
      <c r="J13" s="46">
        <f t="shared" si="4"/>
        <v>0</v>
      </c>
      <c r="K13" s="65">
        <v>0</v>
      </c>
      <c r="L13" s="65">
        <v>0</v>
      </c>
      <c r="M13" s="66">
        <v>0</v>
      </c>
      <c r="N13" s="67" t="s">
        <v>85</v>
      </c>
    </row>
    <row r="14" s="30" customFormat="1" ht="28.5" customHeight="1" spans="1:14">
      <c r="A14" s="44" t="s">
        <v>86</v>
      </c>
      <c r="B14" s="45">
        <f t="shared" si="0"/>
        <v>11714</v>
      </c>
      <c r="C14" s="45">
        <f>C15+C16+C17+C18</f>
        <v>11714</v>
      </c>
      <c r="D14" s="45">
        <v>0</v>
      </c>
      <c r="E14" s="45">
        <f t="shared" si="9"/>
        <v>10516</v>
      </c>
      <c r="F14" s="45">
        <f>F15+F16+F17+F18</f>
        <v>10516</v>
      </c>
      <c r="G14" s="45">
        <v>0</v>
      </c>
      <c r="H14" s="47">
        <f t="shared" si="2"/>
        <v>-1198</v>
      </c>
      <c r="I14" s="47">
        <f t="shared" si="3"/>
        <v>-1198</v>
      </c>
      <c r="J14" s="46">
        <f t="shared" si="4"/>
        <v>0</v>
      </c>
      <c r="K14" s="65">
        <f t="shared" ref="K14:K21" si="10">H14/B14*100</f>
        <v>-10.2270787092368</v>
      </c>
      <c r="L14" s="65">
        <f t="shared" ref="L14:L21" si="11">I14/C14*100</f>
        <v>-10.2270787092368</v>
      </c>
      <c r="M14" s="66">
        <v>0</v>
      </c>
      <c r="N14" s="67"/>
    </row>
    <row r="15" s="30" customFormat="1" ht="28.5" customHeight="1" spans="1:14">
      <c r="A15" s="49" t="s">
        <v>87</v>
      </c>
      <c r="B15" s="45">
        <f t="shared" si="0"/>
        <v>1341</v>
      </c>
      <c r="C15" s="47">
        <v>1341</v>
      </c>
      <c r="D15" s="47">
        <v>0</v>
      </c>
      <c r="E15" s="45">
        <f t="shared" si="9"/>
        <v>1400</v>
      </c>
      <c r="F15" s="47">
        <v>1400</v>
      </c>
      <c r="G15" s="47">
        <v>0</v>
      </c>
      <c r="H15" s="47">
        <f t="shared" si="2"/>
        <v>59</v>
      </c>
      <c r="I15" s="47">
        <f t="shared" si="3"/>
        <v>59</v>
      </c>
      <c r="J15" s="46">
        <f t="shared" si="4"/>
        <v>0</v>
      </c>
      <c r="K15" s="65">
        <f t="shared" si="10"/>
        <v>4.39970171513796</v>
      </c>
      <c r="L15" s="65">
        <f t="shared" si="11"/>
        <v>4.39970171513796</v>
      </c>
      <c r="M15" s="66">
        <v>0</v>
      </c>
      <c r="N15" s="67"/>
    </row>
    <row r="16" s="30" customFormat="1" ht="28.5" customHeight="1" spans="1:14">
      <c r="A16" s="50" t="s">
        <v>88</v>
      </c>
      <c r="B16" s="45">
        <f t="shared" si="0"/>
        <v>1074</v>
      </c>
      <c r="C16" s="47">
        <v>1074</v>
      </c>
      <c r="D16" s="47">
        <v>0</v>
      </c>
      <c r="E16" s="45">
        <f t="shared" si="9"/>
        <v>1074</v>
      </c>
      <c r="F16" s="47">
        <v>1074</v>
      </c>
      <c r="G16" s="47">
        <v>0</v>
      </c>
      <c r="H16" s="47">
        <f t="shared" si="2"/>
        <v>0</v>
      </c>
      <c r="I16" s="47">
        <f t="shared" si="3"/>
        <v>0</v>
      </c>
      <c r="J16" s="46">
        <f t="shared" si="4"/>
        <v>0</v>
      </c>
      <c r="K16" s="65">
        <f t="shared" si="10"/>
        <v>0</v>
      </c>
      <c r="L16" s="65">
        <f t="shared" si="11"/>
        <v>0</v>
      </c>
      <c r="M16" s="66">
        <v>0</v>
      </c>
      <c r="N16" s="67" t="s">
        <v>79</v>
      </c>
    </row>
    <row r="17" s="30" customFormat="1" ht="47.25" customHeight="1" spans="1:14">
      <c r="A17" s="49" t="s">
        <v>89</v>
      </c>
      <c r="B17" s="45">
        <f t="shared" si="0"/>
        <v>6701</v>
      </c>
      <c r="C17" s="47">
        <v>6701</v>
      </c>
      <c r="D17" s="47">
        <v>0</v>
      </c>
      <c r="E17" s="45">
        <f t="shared" si="9"/>
        <v>8042</v>
      </c>
      <c r="F17" s="47">
        <v>8042</v>
      </c>
      <c r="G17" s="47">
        <v>0</v>
      </c>
      <c r="H17" s="47">
        <f t="shared" si="2"/>
        <v>1341</v>
      </c>
      <c r="I17" s="47">
        <f t="shared" si="3"/>
        <v>1341</v>
      </c>
      <c r="J17" s="46">
        <f t="shared" si="4"/>
        <v>0</v>
      </c>
      <c r="K17" s="65">
        <f t="shared" si="10"/>
        <v>20.0119385166393</v>
      </c>
      <c r="L17" s="65">
        <f t="shared" si="11"/>
        <v>20.0119385166393</v>
      </c>
      <c r="M17" s="66">
        <v>0</v>
      </c>
      <c r="N17" s="67" t="s">
        <v>79</v>
      </c>
    </row>
    <row r="18" s="30" customFormat="1" ht="28.5" customHeight="1" spans="1:14">
      <c r="A18" s="49" t="s">
        <v>90</v>
      </c>
      <c r="B18" s="45">
        <f t="shared" si="0"/>
        <v>2598</v>
      </c>
      <c r="C18" s="47">
        <v>2598</v>
      </c>
      <c r="D18" s="47">
        <v>0</v>
      </c>
      <c r="E18" s="45">
        <f t="shared" si="9"/>
        <v>0</v>
      </c>
      <c r="F18" s="47"/>
      <c r="G18" s="47">
        <v>0</v>
      </c>
      <c r="H18" s="47">
        <f t="shared" si="2"/>
        <v>-2598</v>
      </c>
      <c r="I18" s="47">
        <f t="shared" si="3"/>
        <v>-2598</v>
      </c>
      <c r="J18" s="46">
        <f t="shared" si="4"/>
        <v>0</v>
      </c>
      <c r="K18" s="65">
        <f t="shared" si="10"/>
        <v>-100</v>
      </c>
      <c r="L18" s="65">
        <f t="shared" si="11"/>
        <v>-100</v>
      </c>
      <c r="M18" s="66">
        <v>0</v>
      </c>
      <c r="N18" s="67" t="s">
        <v>79</v>
      </c>
    </row>
    <row r="19" s="30" customFormat="1" ht="28.5" customHeight="1" spans="1:14">
      <c r="A19" s="44" t="s">
        <v>91</v>
      </c>
      <c r="B19" s="45">
        <f t="shared" ref="B19:G19" si="12">SUM(B20:B21)</f>
        <v>1220</v>
      </c>
      <c r="C19" s="45">
        <f t="shared" si="12"/>
        <v>1220</v>
      </c>
      <c r="D19" s="45">
        <f t="shared" si="12"/>
        <v>0</v>
      </c>
      <c r="E19" s="45">
        <f t="shared" si="12"/>
        <v>1030</v>
      </c>
      <c r="F19" s="45">
        <f t="shared" si="12"/>
        <v>1030</v>
      </c>
      <c r="G19" s="45">
        <f t="shared" si="12"/>
        <v>0</v>
      </c>
      <c r="H19" s="47">
        <f t="shared" si="2"/>
        <v>-190</v>
      </c>
      <c r="I19" s="47">
        <f t="shared" si="3"/>
        <v>-190</v>
      </c>
      <c r="J19" s="46">
        <f t="shared" si="4"/>
        <v>0</v>
      </c>
      <c r="K19" s="65">
        <f t="shared" si="10"/>
        <v>-15.5737704918033</v>
      </c>
      <c r="L19" s="65">
        <f t="shared" si="11"/>
        <v>-15.5737704918033</v>
      </c>
      <c r="M19" s="66">
        <v>0</v>
      </c>
      <c r="N19" s="67" t="s">
        <v>79</v>
      </c>
    </row>
    <row r="20" s="30" customFormat="1" ht="51" customHeight="1" spans="1:14">
      <c r="A20" s="49" t="s">
        <v>92</v>
      </c>
      <c r="B20" s="45">
        <f>C20+D20</f>
        <v>467</v>
      </c>
      <c r="C20" s="47">
        <v>467</v>
      </c>
      <c r="D20" s="47">
        <v>0</v>
      </c>
      <c r="E20" s="45">
        <f>F20+G20</f>
        <v>467</v>
      </c>
      <c r="F20" s="47">
        <v>467</v>
      </c>
      <c r="G20" s="47">
        <v>0</v>
      </c>
      <c r="H20" s="47">
        <f t="shared" si="2"/>
        <v>0</v>
      </c>
      <c r="I20" s="47">
        <f t="shared" si="3"/>
        <v>0</v>
      </c>
      <c r="J20" s="46">
        <f t="shared" si="4"/>
        <v>0</v>
      </c>
      <c r="K20" s="65">
        <f t="shared" si="10"/>
        <v>0</v>
      </c>
      <c r="L20" s="65">
        <f t="shared" si="11"/>
        <v>0</v>
      </c>
      <c r="M20" s="66">
        <v>0</v>
      </c>
      <c r="N20" s="67" t="s">
        <v>79</v>
      </c>
    </row>
    <row r="21" s="30" customFormat="1" ht="43.5" customHeight="1" spans="1:14">
      <c r="A21" s="49" t="s">
        <v>93</v>
      </c>
      <c r="B21" s="45">
        <f>C21+D21</f>
        <v>753</v>
      </c>
      <c r="C21" s="47">
        <v>753</v>
      </c>
      <c r="D21" s="47">
        <v>0</v>
      </c>
      <c r="E21" s="45">
        <f>F21+G21</f>
        <v>563</v>
      </c>
      <c r="F21" s="47">
        <v>563</v>
      </c>
      <c r="G21" s="47">
        <v>0</v>
      </c>
      <c r="H21" s="47">
        <f t="shared" si="2"/>
        <v>-190</v>
      </c>
      <c r="I21" s="47">
        <f t="shared" si="3"/>
        <v>-190</v>
      </c>
      <c r="J21" s="46">
        <f t="shared" si="4"/>
        <v>0</v>
      </c>
      <c r="K21" s="65">
        <f t="shared" si="10"/>
        <v>-25.2324037184595</v>
      </c>
      <c r="L21" s="65">
        <f t="shared" si="11"/>
        <v>-25.2324037184595</v>
      </c>
      <c r="M21" s="66">
        <v>0</v>
      </c>
      <c r="N21" s="67" t="s">
        <v>79</v>
      </c>
    </row>
    <row r="22" s="30" customFormat="1" ht="28.5" customHeight="1" spans="1:14">
      <c r="A22" s="51" t="s">
        <v>94</v>
      </c>
      <c r="B22" s="45">
        <f t="shared" ref="B22:B34" si="13">C22+D22</f>
        <v>4033</v>
      </c>
      <c r="C22" s="47">
        <f>C23+C24+C25+C26+C28+C27</f>
        <v>4033</v>
      </c>
      <c r="D22" s="47">
        <f>D23+D24+D25+D26+D28</f>
        <v>0</v>
      </c>
      <c r="E22" s="45">
        <f t="shared" ref="E22:E34" si="14">F22+G22</f>
        <v>3120</v>
      </c>
      <c r="F22" s="47">
        <f>F23+F24+F25+F26+F28</f>
        <v>3120</v>
      </c>
      <c r="G22" s="47">
        <f>G23+G24+G25+G26+G28</f>
        <v>0</v>
      </c>
      <c r="H22" s="47">
        <f t="shared" ref="H22:H34" si="15">E22-B22</f>
        <v>-913</v>
      </c>
      <c r="I22" s="47">
        <f t="shared" ref="I22:I34" si="16">F22-C22</f>
        <v>-913</v>
      </c>
      <c r="J22" s="46">
        <f t="shared" ref="J22:J34" si="17">G22-D22</f>
        <v>0</v>
      </c>
      <c r="K22" s="65">
        <f t="shared" ref="K22:K34" si="18">H22/B22*100</f>
        <v>-22.6382345648401</v>
      </c>
      <c r="L22" s="65">
        <f t="shared" ref="L22:L34" si="19">I22/C22*100</f>
        <v>-22.6382345648401</v>
      </c>
      <c r="M22" s="66"/>
      <c r="N22" s="67" t="s">
        <v>79</v>
      </c>
    </row>
    <row r="23" s="30" customFormat="1" ht="28.5" customHeight="1" spans="1:14">
      <c r="A23" s="52" t="s">
        <v>95</v>
      </c>
      <c r="B23" s="45">
        <f t="shared" si="13"/>
        <v>3000</v>
      </c>
      <c r="C23" s="47">
        <v>3000</v>
      </c>
      <c r="D23" s="47">
        <v>0</v>
      </c>
      <c r="E23" s="45">
        <f t="shared" si="14"/>
        <v>3000</v>
      </c>
      <c r="F23" s="47">
        <v>3000</v>
      </c>
      <c r="G23" s="47">
        <v>0</v>
      </c>
      <c r="H23" s="47">
        <f t="shared" si="15"/>
        <v>0</v>
      </c>
      <c r="I23" s="47">
        <f t="shared" si="16"/>
        <v>0</v>
      </c>
      <c r="J23" s="46">
        <f t="shared" si="17"/>
        <v>0</v>
      </c>
      <c r="K23" s="65">
        <f t="shared" si="18"/>
        <v>0</v>
      </c>
      <c r="L23" s="65">
        <f t="shared" si="19"/>
        <v>0</v>
      </c>
      <c r="M23" s="66"/>
      <c r="N23" s="67" t="s">
        <v>79</v>
      </c>
    </row>
    <row r="24" s="30" customFormat="1" ht="43.5" customHeight="1" spans="1:14">
      <c r="A24" s="52" t="s">
        <v>96</v>
      </c>
      <c r="B24" s="45">
        <f t="shared" si="13"/>
        <v>105</v>
      </c>
      <c r="C24" s="47">
        <v>105</v>
      </c>
      <c r="D24" s="47">
        <v>0</v>
      </c>
      <c r="E24" s="45">
        <f t="shared" si="14"/>
        <v>120</v>
      </c>
      <c r="F24" s="47">
        <v>120</v>
      </c>
      <c r="G24" s="47"/>
      <c r="H24" s="47">
        <f t="shared" si="15"/>
        <v>15</v>
      </c>
      <c r="I24" s="47">
        <f t="shared" si="16"/>
        <v>15</v>
      </c>
      <c r="J24" s="46">
        <f t="shared" si="17"/>
        <v>0</v>
      </c>
      <c r="K24" s="65">
        <f t="shared" si="18"/>
        <v>14.2857142857143</v>
      </c>
      <c r="L24" s="65">
        <f t="shared" si="19"/>
        <v>14.2857142857143</v>
      </c>
      <c r="M24" s="66"/>
      <c r="N24" s="67" t="s">
        <v>85</v>
      </c>
    </row>
    <row r="25" s="30" customFormat="1" ht="28.5" customHeight="1" spans="1:14">
      <c r="A25" s="50" t="s">
        <v>97</v>
      </c>
      <c r="B25" s="45">
        <f t="shared" si="13"/>
        <v>185</v>
      </c>
      <c r="C25" s="47">
        <v>185</v>
      </c>
      <c r="D25" s="47"/>
      <c r="E25" s="45">
        <f t="shared" si="14"/>
        <v>0</v>
      </c>
      <c r="F25" s="47"/>
      <c r="G25" s="47"/>
      <c r="H25" s="47">
        <f t="shared" si="15"/>
        <v>-185</v>
      </c>
      <c r="I25" s="47">
        <f t="shared" si="16"/>
        <v>-185</v>
      </c>
      <c r="J25" s="46">
        <f t="shared" si="17"/>
        <v>0</v>
      </c>
      <c r="K25" s="65">
        <f t="shared" si="18"/>
        <v>-100</v>
      </c>
      <c r="L25" s="65">
        <f t="shared" si="19"/>
        <v>-100</v>
      </c>
      <c r="M25" s="66"/>
      <c r="N25" s="67" t="s">
        <v>85</v>
      </c>
    </row>
    <row r="26" s="30" customFormat="1" ht="28.5" customHeight="1" spans="1:14">
      <c r="A26" s="50" t="s">
        <v>98</v>
      </c>
      <c r="B26" s="45">
        <f t="shared" si="13"/>
        <v>743</v>
      </c>
      <c r="C26" s="47">
        <v>743</v>
      </c>
      <c r="D26" s="47">
        <v>0</v>
      </c>
      <c r="E26" s="45">
        <f t="shared" si="14"/>
        <v>0</v>
      </c>
      <c r="F26" s="47"/>
      <c r="G26" s="47"/>
      <c r="H26" s="47">
        <f t="shared" si="15"/>
        <v>-743</v>
      </c>
      <c r="I26" s="47">
        <f t="shared" si="16"/>
        <v>-743</v>
      </c>
      <c r="J26" s="46">
        <f t="shared" si="17"/>
        <v>0</v>
      </c>
      <c r="K26" s="65">
        <f t="shared" si="18"/>
        <v>-100</v>
      </c>
      <c r="L26" s="65">
        <f t="shared" si="19"/>
        <v>-100</v>
      </c>
      <c r="M26" s="65"/>
      <c r="N26" s="67" t="s">
        <v>85</v>
      </c>
    </row>
    <row r="27" s="30" customFormat="1" ht="28.5" customHeight="1" spans="1:14">
      <c r="A27" s="50" t="s">
        <v>99</v>
      </c>
      <c r="B27" s="45">
        <f t="shared" si="13"/>
        <v>0</v>
      </c>
      <c r="C27" s="47">
        <v>0</v>
      </c>
      <c r="D27" s="47"/>
      <c r="E27" s="45"/>
      <c r="F27" s="47"/>
      <c r="G27" s="47"/>
      <c r="H27" s="47"/>
      <c r="I27" s="47"/>
      <c r="J27" s="46"/>
      <c r="K27" s="65"/>
      <c r="L27" s="65"/>
      <c r="M27" s="65"/>
      <c r="N27" s="67"/>
    </row>
    <row r="28" s="30" customFormat="1" ht="28.5" customHeight="1" spans="1:14">
      <c r="A28" s="50" t="s">
        <v>100</v>
      </c>
      <c r="B28" s="45">
        <f t="shared" si="13"/>
        <v>0</v>
      </c>
      <c r="C28" s="47">
        <v>0</v>
      </c>
      <c r="D28" s="47">
        <v>0</v>
      </c>
      <c r="E28" s="45">
        <f>F28+G28</f>
        <v>0</v>
      </c>
      <c r="F28" s="47"/>
      <c r="G28" s="47"/>
      <c r="H28" s="47">
        <f>E28-B28</f>
        <v>0</v>
      </c>
      <c r="I28" s="47">
        <f>F28-C28</f>
        <v>0</v>
      </c>
      <c r="J28" s="46"/>
      <c r="K28" s="65"/>
      <c r="L28" s="65"/>
      <c r="M28" s="65"/>
      <c r="N28" s="67"/>
    </row>
    <row r="29" s="30" customFormat="1" ht="28.5" customHeight="1" spans="1:14">
      <c r="A29" s="53" t="s">
        <v>101</v>
      </c>
      <c r="B29" s="45">
        <f t="shared" ref="B29:B54" si="20">C29+D29</f>
        <v>90</v>
      </c>
      <c r="C29" s="47">
        <v>90</v>
      </c>
      <c r="D29" s="47"/>
      <c r="E29" s="45">
        <f t="shared" ref="E29:E46" si="21">F29+G29</f>
        <v>0</v>
      </c>
      <c r="F29" s="47"/>
      <c r="G29" s="47"/>
      <c r="H29" s="47">
        <f t="shared" ref="H29:H51" si="22">E29-B29</f>
        <v>-90</v>
      </c>
      <c r="I29" s="47">
        <f t="shared" ref="I29:I51" si="23">F29-C29</f>
        <v>-90</v>
      </c>
      <c r="J29" s="46">
        <f t="shared" ref="J29:J51" si="24">G29-D29</f>
        <v>0</v>
      </c>
      <c r="K29" s="65">
        <f t="shared" ref="K28:K48" si="25">H29/B29*100</f>
        <v>-100</v>
      </c>
      <c r="L29" s="65">
        <f t="shared" ref="L28:L48" si="26">I29/C29*100</f>
        <v>-100</v>
      </c>
      <c r="M29" s="65"/>
      <c r="N29" s="67"/>
    </row>
    <row r="30" s="30" customFormat="1" ht="28.5" customHeight="1" spans="1:14">
      <c r="A30" s="53" t="s">
        <v>102</v>
      </c>
      <c r="B30" s="45">
        <f t="shared" si="20"/>
        <v>354</v>
      </c>
      <c r="C30" s="47">
        <v>354</v>
      </c>
      <c r="D30" s="47"/>
      <c r="E30" s="45">
        <f t="shared" si="21"/>
        <v>501.56</v>
      </c>
      <c r="F30" s="47">
        <v>501.56</v>
      </c>
      <c r="G30" s="47"/>
      <c r="H30" s="47">
        <f t="shared" si="22"/>
        <v>147.56</v>
      </c>
      <c r="I30" s="47">
        <f t="shared" si="23"/>
        <v>147.56</v>
      </c>
      <c r="J30" s="46">
        <f t="shared" si="24"/>
        <v>0</v>
      </c>
      <c r="K30" s="65">
        <f t="shared" si="25"/>
        <v>41.683615819209</v>
      </c>
      <c r="L30" s="65">
        <f t="shared" si="26"/>
        <v>41.683615819209</v>
      </c>
      <c r="M30" s="65"/>
      <c r="N30" s="67"/>
    </row>
    <row r="31" s="30" customFormat="1" ht="28.5" customHeight="1" spans="1:14">
      <c r="A31" s="53" t="s">
        <v>103</v>
      </c>
      <c r="B31" s="45">
        <f t="shared" si="20"/>
        <v>0</v>
      </c>
      <c r="C31" s="47">
        <v>0</v>
      </c>
      <c r="D31" s="47"/>
      <c r="E31" s="45">
        <f t="shared" si="21"/>
        <v>10</v>
      </c>
      <c r="F31" s="47">
        <v>10</v>
      </c>
      <c r="G31" s="47"/>
      <c r="H31" s="47">
        <f t="shared" si="22"/>
        <v>10</v>
      </c>
      <c r="I31" s="47">
        <f t="shared" si="23"/>
        <v>10</v>
      </c>
      <c r="J31" s="46">
        <f t="shared" si="24"/>
        <v>0</v>
      </c>
      <c r="K31" s="65"/>
      <c r="L31" s="65"/>
      <c r="M31" s="65"/>
      <c r="N31" s="67"/>
    </row>
    <row r="32" s="30" customFormat="1" ht="28.5" customHeight="1" spans="1:14">
      <c r="A32" s="53" t="s">
        <v>104</v>
      </c>
      <c r="B32" s="45">
        <f t="shared" si="20"/>
        <v>777.2</v>
      </c>
      <c r="C32" s="47">
        <v>777.2</v>
      </c>
      <c r="D32" s="47"/>
      <c r="E32" s="45">
        <f t="shared" si="21"/>
        <v>1495.24</v>
      </c>
      <c r="F32" s="47">
        <v>1495.24</v>
      </c>
      <c r="G32" s="47"/>
      <c r="H32" s="47">
        <f t="shared" si="22"/>
        <v>718.04</v>
      </c>
      <c r="I32" s="47">
        <f t="shared" si="23"/>
        <v>718.04</v>
      </c>
      <c r="J32" s="46">
        <f t="shared" si="24"/>
        <v>0</v>
      </c>
      <c r="K32" s="65">
        <f t="shared" si="25"/>
        <v>92.3880597014925</v>
      </c>
      <c r="L32" s="65">
        <f t="shared" si="26"/>
        <v>92.3880597014925</v>
      </c>
      <c r="M32" s="65"/>
      <c r="N32" s="67"/>
    </row>
    <row r="33" s="30" customFormat="1" ht="28.5" customHeight="1" spans="1:14">
      <c r="A33" s="53" t="s">
        <v>105</v>
      </c>
      <c r="B33" s="45">
        <f t="shared" si="20"/>
        <v>1422.72</v>
      </c>
      <c r="C33" s="47">
        <v>1422.72</v>
      </c>
      <c r="D33" s="47"/>
      <c r="E33" s="45">
        <f t="shared" si="21"/>
        <v>5592.68</v>
      </c>
      <c r="F33" s="47">
        <v>5592.68</v>
      </c>
      <c r="G33" s="47"/>
      <c r="H33" s="47">
        <f t="shared" si="22"/>
        <v>4169.96</v>
      </c>
      <c r="I33" s="47">
        <f t="shared" si="23"/>
        <v>4169.96</v>
      </c>
      <c r="J33" s="46">
        <f t="shared" si="24"/>
        <v>0</v>
      </c>
      <c r="K33" s="65">
        <f t="shared" si="25"/>
        <v>293.097728295097</v>
      </c>
      <c r="L33" s="65">
        <f t="shared" si="26"/>
        <v>293.097728295097</v>
      </c>
      <c r="M33" s="65"/>
      <c r="N33" s="67"/>
    </row>
    <row r="34" s="30" customFormat="1" ht="28.5" customHeight="1" spans="1:14">
      <c r="A34" s="53" t="s">
        <v>106</v>
      </c>
      <c r="B34" s="45">
        <f t="shared" si="20"/>
        <v>0</v>
      </c>
      <c r="C34" s="47">
        <v>0</v>
      </c>
      <c r="D34" s="47"/>
      <c r="E34" s="45">
        <f t="shared" si="21"/>
        <v>96</v>
      </c>
      <c r="F34" s="47">
        <v>96</v>
      </c>
      <c r="G34" s="47"/>
      <c r="H34" s="47">
        <f t="shared" si="22"/>
        <v>96</v>
      </c>
      <c r="I34" s="47">
        <f t="shared" si="23"/>
        <v>96</v>
      </c>
      <c r="J34" s="46">
        <f t="shared" si="24"/>
        <v>0</v>
      </c>
      <c r="K34" s="65"/>
      <c r="L34" s="65"/>
      <c r="M34" s="65"/>
      <c r="N34" s="67"/>
    </row>
    <row r="35" s="30" customFormat="1" ht="28.5" customHeight="1" spans="1:14">
      <c r="A35" s="53" t="s">
        <v>107</v>
      </c>
      <c r="B35" s="45">
        <f t="shared" si="20"/>
        <v>55</v>
      </c>
      <c r="C35" s="47">
        <v>55</v>
      </c>
      <c r="D35" s="47"/>
      <c r="E35" s="45">
        <f t="shared" si="21"/>
        <v>395.46</v>
      </c>
      <c r="F35" s="47">
        <v>395.46</v>
      </c>
      <c r="G35" s="47"/>
      <c r="H35" s="47">
        <f t="shared" si="22"/>
        <v>340.46</v>
      </c>
      <c r="I35" s="47">
        <f t="shared" si="23"/>
        <v>340.46</v>
      </c>
      <c r="J35" s="46">
        <f t="shared" si="24"/>
        <v>0</v>
      </c>
      <c r="K35" s="65">
        <f t="shared" si="25"/>
        <v>619.018181818182</v>
      </c>
      <c r="L35" s="65">
        <f t="shared" si="26"/>
        <v>619.018181818182</v>
      </c>
      <c r="M35" s="65"/>
      <c r="N35" s="67"/>
    </row>
    <row r="36" s="30" customFormat="1" ht="28.5" customHeight="1" spans="1:14">
      <c r="A36" s="53" t="s">
        <v>108</v>
      </c>
      <c r="B36" s="45">
        <f t="shared" si="20"/>
        <v>13124.5</v>
      </c>
      <c r="C36" s="47">
        <v>13124.5</v>
      </c>
      <c r="D36" s="47"/>
      <c r="E36" s="45">
        <f t="shared" si="21"/>
        <v>18985.97</v>
      </c>
      <c r="F36" s="47">
        <f>19170.7-142.23-42.5</f>
        <v>18985.97</v>
      </c>
      <c r="G36" s="47"/>
      <c r="H36" s="47">
        <f t="shared" si="22"/>
        <v>5861.47</v>
      </c>
      <c r="I36" s="47">
        <f t="shared" si="23"/>
        <v>5861.47</v>
      </c>
      <c r="J36" s="46">
        <f t="shared" si="24"/>
        <v>0</v>
      </c>
      <c r="K36" s="65">
        <f t="shared" si="25"/>
        <v>44.6605204007772</v>
      </c>
      <c r="L36" s="65">
        <f t="shared" si="26"/>
        <v>44.6605204007772</v>
      </c>
      <c r="M36" s="65"/>
      <c r="N36" s="67"/>
    </row>
    <row r="37" s="30" customFormat="1" ht="28.5" customHeight="1" spans="1:14">
      <c r="A37" s="53" t="s">
        <v>109</v>
      </c>
      <c r="B37" s="45">
        <f t="shared" si="20"/>
        <v>5177.12</v>
      </c>
      <c r="C37" s="47">
        <v>5177.12</v>
      </c>
      <c r="D37" s="47"/>
      <c r="E37" s="45">
        <f t="shared" si="21"/>
        <v>7841.88</v>
      </c>
      <c r="F37" s="47">
        <v>7841.88</v>
      </c>
      <c r="G37" s="47"/>
      <c r="H37" s="47">
        <f t="shared" si="22"/>
        <v>2664.76</v>
      </c>
      <c r="I37" s="47">
        <f t="shared" si="23"/>
        <v>2664.76</v>
      </c>
      <c r="J37" s="46">
        <f t="shared" si="24"/>
        <v>0</v>
      </c>
      <c r="K37" s="65">
        <f t="shared" si="25"/>
        <v>51.4718608029175</v>
      </c>
      <c r="L37" s="65">
        <f t="shared" si="26"/>
        <v>51.4718608029175</v>
      </c>
      <c r="M37" s="65"/>
      <c r="N37" s="67"/>
    </row>
    <row r="38" s="30" customFormat="1" ht="28.5" customHeight="1" spans="1:14">
      <c r="A38" s="53" t="s">
        <v>110</v>
      </c>
      <c r="B38" s="45">
        <f t="shared" si="20"/>
        <v>200</v>
      </c>
      <c r="C38" s="47">
        <v>200</v>
      </c>
      <c r="D38" s="47"/>
      <c r="E38" s="45">
        <f t="shared" si="21"/>
        <v>0</v>
      </c>
      <c r="F38" s="47"/>
      <c r="G38" s="47"/>
      <c r="H38" s="47">
        <f t="shared" si="22"/>
        <v>-200</v>
      </c>
      <c r="I38" s="47">
        <f t="shared" si="23"/>
        <v>-200</v>
      </c>
      <c r="J38" s="46">
        <f t="shared" si="24"/>
        <v>0</v>
      </c>
      <c r="K38" s="65">
        <f t="shared" si="25"/>
        <v>-100</v>
      </c>
      <c r="L38" s="65">
        <f t="shared" si="26"/>
        <v>-100</v>
      </c>
      <c r="M38" s="65"/>
      <c r="N38" s="67"/>
    </row>
    <row r="39" s="30" customFormat="1" ht="28.5" customHeight="1" spans="1:14">
      <c r="A39" s="53" t="s">
        <v>111</v>
      </c>
      <c r="B39" s="45">
        <f t="shared" si="20"/>
        <v>9505.57</v>
      </c>
      <c r="C39" s="47">
        <v>9505.57</v>
      </c>
      <c r="D39" s="47"/>
      <c r="E39" s="45">
        <f t="shared" si="21"/>
        <v>12079.23</v>
      </c>
      <c r="F39" s="47">
        <f>12139.23-60</f>
        <v>12079.23</v>
      </c>
      <c r="G39" s="47"/>
      <c r="H39" s="47">
        <f t="shared" si="22"/>
        <v>2573.66</v>
      </c>
      <c r="I39" s="47">
        <f t="shared" si="23"/>
        <v>2573.66</v>
      </c>
      <c r="J39" s="46">
        <f t="shared" si="24"/>
        <v>0</v>
      </c>
      <c r="K39" s="65">
        <f t="shared" si="25"/>
        <v>27.0752832286754</v>
      </c>
      <c r="L39" s="65">
        <f t="shared" si="26"/>
        <v>27.0752832286754</v>
      </c>
      <c r="M39" s="65"/>
      <c r="N39" s="67"/>
    </row>
    <row r="40" s="30" customFormat="1" ht="28.5" customHeight="1" spans="1:14">
      <c r="A40" s="53" t="s">
        <v>112</v>
      </c>
      <c r="B40" s="45">
        <f t="shared" si="20"/>
        <v>0</v>
      </c>
      <c r="C40" s="47">
        <v>0</v>
      </c>
      <c r="D40" s="47"/>
      <c r="E40" s="45">
        <f t="shared" si="21"/>
        <v>1196.902</v>
      </c>
      <c r="F40" s="47">
        <v>1196.902</v>
      </c>
      <c r="G40" s="47"/>
      <c r="H40" s="47">
        <f t="shared" si="22"/>
        <v>1196.902</v>
      </c>
      <c r="I40" s="47">
        <f t="shared" si="23"/>
        <v>1196.902</v>
      </c>
      <c r="J40" s="46">
        <f t="shared" si="24"/>
        <v>0</v>
      </c>
      <c r="K40" s="65"/>
      <c r="L40" s="65"/>
      <c r="M40" s="65"/>
      <c r="N40" s="67"/>
    </row>
    <row r="41" s="30" customFormat="1" ht="28.5" customHeight="1" spans="1:14">
      <c r="A41" s="53" t="s">
        <v>113</v>
      </c>
      <c r="B41" s="45">
        <f t="shared" si="20"/>
        <v>212.53</v>
      </c>
      <c r="C41" s="47">
        <v>212.53</v>
      </c>
      <c r="D41" s="47"/>
      <c r="E41" s="45">
        <f t="shared" si="21"/>
        <v>47.74</v>
      </c>
      <c r="F41" s="47">
        <v>47.74</v>
      </c>
      <c r="G41" s="47"/>
      <c r="H41" s="47">
        <f t="shared" si="22"/>
        <v>-164.79</v>
      </c>
      <c r="I41" s="47">
        <f t="shared" si="23"/>
        <v>-164.79</v>
      </c>
      <c r="J41" s="46">
        <f t="shared" si="24"/>
        <v>0</v>
      </c>
      <c r="K41" s="65">
        <f t="shared" si="25"/>
        <v>-77.5372888533384</v>
      </c>
      <c r="L41" s="65">
        <f t="shared" si="26"/>
        <v>-77.5372888533384</v>
      </c>
      <c r="M41" s="65"/>
      <c r="N41" s="67"/>
    </row>
    <row r="42" s="30" customFormat="1" ht="54" spans="1:14">
      <c r="A42" s="53" t="s">
        <v>114</v>
      </c>
      <c r="B42" s="45">
        <f t="shared" si="20"/>
        <v>1281</v>
      </c>
      <c r="C42" s="47">
        <v>1281</v>
      </c>
      <c r="D42" s="47"/>
      <c r="E42" s="45">
        <f t="shared" si="21"/>
        <v>-16968.5</v>
      </c>
      <c r="F42" s="47">
        <f>2031.5-19000</f>
        <v>-16968.5</v>
      </c>
      <c r="G42" s="47"/>
      <c r="H42" s="47">
        <f t="shared" si="22"/>
        <v>-18249.5</v>
      </c>
      <c r="I42" s="47">
        <f t="shared" si="23"/>
        <v>-18249.5</v>
      </c>
      <c r="J42" s="46">
        <f t="shared" si="24"/>
        <v>0</v>
      </c>
      <c r="K42" s="65">
        <f t="shared" si="25"/>
        <v>-1424.62919594067</v>
      </c>
      <c r="L42" s="65">
        <f t="shared" si="26"/>
        <v>-1424.62919594067</v>
      </c>
      <c r="M42" s="65"/>
      <c r="N42" s="67"/>
    </row>
    <row r="43" s="30" customFormat="1" ht="28.5" customHeight="1" spans="1:14">
      <c r="A43" s="53" t="s">
        <v>115</v>
      </c>
      <c r="B43" s="45">
        <f t="shared" si="20"/>
        <v>0</v>
      </c>
      <c r="C43" s="47">
        <v>0</v>
      </c>
      <c r="D43" s="47"/>
      <c r="E43" s="45">
        <f t="shared" si="21"/>
        <v>0</v>
      </c>
      <c r="F43" s="47"/>
      <c r="G43" s="47"/>
      <c r="H43" s="47">
        <f t="shared" si="22"/>
        <v>0</v>
      </c>
      <c r="I43" s="47">
        <f t="shared" si="23"/>
        <v>0</v>
      </c>
      <c r="J43" s="46">
        <f t="shared" si="24"/>
        <v>0</v>
      </c>
      <c r="K43" s="65"/>
      <c r="L43" s="65"/>
      <c r="M43" s="65"/>
      <c r="N43" s="67"/>
    </row>
    <row r="44" s="30" customFormat="1" ht="40.5" spans="1:14">
      <c r="A44" s="53" t="s">
        <v>116</v>
      </c>
      <c r="B44" s="45">
        <f t="shared" si="20"/>
        <v>0</v>
      </c>
      <c r="C44" s="47">
        <v>0</v>
      </c>
      <c r="D44" s="47"/>
      <c r="E44" s="45">
        <f t="shared" si="21"/>
        <v>12400.85</v>
      </c>
      <c r="F44" s="47">
        <f>12400.85-4282</f>
        <v>8118.85</v>
      </c>
      <c r="G44" s="47">
        <v>4282</v>
      </c>
      <c r="H44" s="47">
        <f t="shared" si="22"/>
        <v>12400.85</v>
      </c>
      <c r="I44" s="47">
        <f t="shared" si="23"/>
        <v>8118.85</v>
      </c>
      <c r="J44" s="46">
        <f t="shared" si="24"/>
        <v>4282</v>
      </c>
      <c r="K44" s="65"/>
      <c r="L44" s="65"/>
      <c r="M44" s="65"/>
      <c r="N44" s="67"/>
    </row>
    <row r="45" s="30" customFormat="1" ht="40.5" spans="1:14">
      <c r="A45" s="53" t="s">
        <v>117</v>
      </c>
      <c r="B45" s="45">
        <f t="shared" si="20"/>
        <v>0</v>
      </c>
      <c r="C45" s="47">
        <v>0</v>
      </c>
      <c r="D45" s="47"/>
      <c r="E45" s="45">
        <f t="shared" si="21"/>
        <v>17650</v>
      </c>
      <c r="F45" s="47">
        <v>17650</v>
      </c>
      <c r="G45" s="47"/>
      <c r="H45" s="47">
        <f t="shared" si="22"/>
        <v>17650</v>
      </c>
      <c r="I45" s="47">
        <f t="shared" si="23"/>
        <v>17650</v>
      </c>
      <c r="J45" s="46">
        <f t="shared" si="24"/>
        <v>0</v>
      </c>
      <c r="K45" s="65"/>
      <c r="L45" s="65"/>
      <c r="M45" s="65"/>
      <c r="N45" s="67"/>
    </row>
    <row r="46" s="30" customFormat="1" ht="28.5" customHeight="1" spans="1:14">
      <c r="A46" s="53" t="s">
        <v>118</v>
      </c>
      <c r="B46" s="45">
        <f t="shared" si="20"/>
        <v>0</v>
      </c>
      <c r="C46" s="47">
        <v>0</v>
      </c>
      <c r="D46" s="47"/>
      <c r="E46" s="45">
        <f t="shared" si="21"/>
        <v>2195</v>
      </c>
      <c r="F46" s="47">
        <v>2195</v>
      </c>
      <c r="G46" s="47"/>
      <c r="H46" s="47">
        <f t="shared" si="22"/>
        <v>2195</v>
      </c>
      <c r="I46" s="47">
        <f t="shared" si="23"/>
        <v>2195</v>
      </c>
      <c r="J46" s="46">
        <f t="shared" si="24"/>
        <v>0</v>
      </c>
      <c r="K46" s="65"/>
      <c r="L46" s="65"/>
      <c r="M46" s="65"/>
      <c r="N46" s="67"/>
    </row>
    <row r="47" s="30" customFormat="1" ht="28.5" customHeight="1" spans="1:14">
      <c r="A47" s="53" t="s">
        <v>119</v>
      </c>
      <c r="B47" s="45">
        <f t="shared" si="20"/>
        <v>4077</v>
      </c>
      <c r="C47" s="47">
        <f>SUM(C48:C55)</f>
        <v>4077</v>
      </c>
      <c r="D47" s="47">
        <f>SUM(D48:D55)</f>
        <v>0</v>
      </c>
      <c r="E47" s="45">
        <f>SUM(E48:E55)</f>
        <v>449.2</v>
      </c>
      <c r="F47" s="47">
        <f>SUM(F48:F55)</f>
        <v>3695.2</v>
      </c>
      <c r="G47" s="47">
        <f>SUM(G48:G55)</f>
        <v>0</v>
      </c>
      <c r="H47" s="47">
        <f t="shared" si="22"/>
        <v>-3627.8</v>
      </c>
      <c r="I47" s="47">
        <f t="shared" si="23"/>
        <v>-381.8</v>
      </c>
      <c r="J47" s="46">
        <f t="shared" si="24"/>
        <v>0</v>
      </c>
      <c r="K47" s="65">
        <f>H47/B47*100</f>
        <v>-88.9820946774589</v>
      </c>
      <c r="L47" s="65">
        <f>I47/C47*100</f>
        <v>-9.36472896737798</v>
      </c>
      <c r="M47" s="65"/>
      <c r="N47" s="67"/>
    </row>
    <row r="48" s="30" customFormat="1" ht="28.5" customHeight="1" spans="1:14">
      <c r="A48" s="50" t="s">
        <v>120</v>
      </c>
      <c r="B48" s="45">
        <f t="shared" si="20"/>
        <v>761</v>
      </c>
      <c r="C48" s="47">
        <v>761</v>
      </c>
      <c r="D48" s="47">
        <v>0</v>
      </c>
      <c r="E48" s="45">
        <f>F48+G48</f>
        <v>0</v>
      </c>
      <c r="F48" s="47"/>
      <c r="G48" s="47"/>
      <c r="H48" s="47">
        <f t="shared" si="22"/>
        <v>-761</v>
      </c>
      <c r="I48" s="47">
        <f t="shared" si="23"/>
        <v>-761</v>
      </c>
      <c r="J48" s="46">
        <f t="shared" si="24"/>
        <v>0</v>
      </c>
      <c r="K48" s="65">
        <f>H48/B48*100</f>
        <v>-100</v>
      </c>
      <c r="L48" s="65">
        <f>I48/C48*100</f>
        <v>-100</v>
      </c>
      <c r="M48" s="66">
        <v>0</v>
      </c>
      <c r="N48" s="67" t="s">
        <v>85</v>
      </c>
    </row>
    <row r="49" s="30" customFormat="1" ht="28.5" customHeight="1" spans="1:14">
      <c r="A49" s="50" t="s">
        <v>121</v>
      </c>
      <c r="B49" s="45">
        <f t="shared" si="20"/>
        <v>0</v>
      </c>
      <c r="C49" s="47">
        <v>0</v>
      </c>
      <c r="D49" s="47">
        <v>0</v>
      </c>
      <c r="E49" s="45">
        <f>F49+G49</f>
        <v>104</v>
      </c>
      <c r="F49" s="47">
        <v>104</v>
      </c>
      <c r="G49" s="47"/>
      <c r="H49" s="47">
        <f t="shared" si="22"/>
        <v>104</v>
      </c>
      <c r="I49" s="47">
        <f t="shared" si="23"/>
        <v>104</v>
      </c>
      <c r="J49" s="46">
        <f t="shared" si="24"/>
        <v>0</v>
      </c>
      <c r="K49" s="65"/>
      <c r="L49" s="65"/>
      <c r="M49" s="66">
        <v>0</v>
      </c>
      <c r="N49" s="67" t="s">
        <v>85</v>
      </c>
    </row>
    <row r="50" s="30" customFormat="1" ht="28.5" customHeight="1" spans="1:14">
      <c r="A50" s="50" t="s">
        <v>122</v>
      </c>
      <c r="B50" s="45">
        <f t="shared" si="20"/>
        <v>36</v>
      </c>
      <c r="C50" s="47">
        <v>36</v>
      </c>
      <c r="D50" s="47">
        <v>0</v>
      </c>
      <c r="E50" s="45">
        <f>F50+G50</f>
        <v>35.52</v>
      </c>
      <c r="F50" s="47">
        <v>35.52</v>
      </c>
      <c r="G50" s="47"/>
      <c r="H50" s="47"/>
      <c r="I50" s="47"/>
      <c r="J50" s="46">
        <f t="shared" si="24"/>
        <v>0</v>
      </c>
      <c r="K50" s="65">
        <f>H50/B50*100</f>
        <v>0</v>
      </c>
      <c r="L50" s="65">
        <f>I50/C50*100</f>
        <v>0</v>
      </c>
      <c r="M50" s="66">
        <v>0</v>
      </c>
      <c r="N50" s="67" t="s">
        <v>85</v>
      </c>
    </row>
    <row r="51" s="30" customFormat="1" ht="28.5" customHeight="1" spans="1:14">
      <c r="A51" s="50" t="s">
        <v>123</v>
      </c>
      <c r="B51" s="45">
        <f t="shared" si="20"/>
        <v>0</v>
      </c>
      <c r="C51" s="47">
        <v>0</v>
      </c>
      <c r="D51" s="47">
        <v>0</v>
      </c>
      <c r="E51" s="45">
        <f>F51+G51</f>
        <v>0</v>
      </c>
      <c r="F51" s="47"/>
      <c r="G51" s="47"/>
      <c r="H51" s="47">
        <f t="shared" si="22"/>
        <v>0</v>
      </c>
      <c r="I51" s="47">
        <f t="shared" si="23"/>
        <v>0</v>
      </c>
      <c r="J51" s="46">
        <f t="shared" si="24"/>
        <v>0</v>
      </c>
      <c r="K51" s="65"/>
      <c r="L51" s="65"/>
      <c r="M51" s="66">
        <v>0</v>
      </c>
      <c r="N51" s="67" t="s">
        <v>85</v>
      </c>
    </row>
    <row r="52" s="30" customFormat="1" ht="28.5" customHeight="1" spans="1:14">
      <c r="A52" s="50" t="s">
        <v>124</v>
      </c>
      <c r="B52" s="45">
        <f t="shared" si="20"/>
        <v>2896</v>
      </c>
      <c r="C52" s="47">
        <v>2896</v>
      </c>
      <c r="D52" s="47"/>
      <c r="E52" s="45"/>
      <c r="F52" s="47">
        <v>2896</v>
      </c>
      <c r="G52" s="47"/>
      <c r="H52" s="47"/>
      <c r="I52" s="47"/>
      <c r="J52" s="46"/>
      <c r="K52" s="65"/>
      <c r="L52" s="65"/>
      <c r="M52" s="66"/>
      <c r="N52" s="67"/>
    </row>
    <row r="53" s="30" customFormat="1" ht="28.5" customHeight="1" spans="1:14">
      <c r="A53" s="50" t="s">
        <v>125</v>
      </c>
      <c r="B53" s="45">
        <f t="shared" si="20"/>
        <v>4</v>
      </c>
      <c r="C53" s="47">
        <v>4</v>
      </c>
      <c r="D53" s="47"/>
      <c r="E53" s="45"/>
      <c r="F53" s="47">
        <v>4</v>
      </c>
      <c r="G53" s="47"/>
      <c r="H53" s="47"/>
      <c r="I53" s="47"/>
      <c r="J53" s="46"/>
      <c r="K53" s="65"/>
      <c r="L53" s="65"/>
      <c r="M53" s="66"/>
      <c r="N53" s="67"/>
    </row>
    <row r="54" s="30" customFormat="1" ht="40.5" spans="1:14">
      <c r="A54" s="50" t="s">
        <v>126</v>
      </c>
      <c r="B54" s="45">
        <f t="shared" si="20"/>
        <v>380</v>
      </c>
      <c r="C54" s="47">
        <v>380</v>
      </c>
      <c r="D54" s="47"/>
      <c r="E54" s="45"/>
      <c r="F54" s="47">
        <v>346</v>
      </c>
      <c r="G54" s="47"/>
      <c r="H54" s="47"/>
      <c r="I54" s="47"/>
      <c r="J54" s="46"/>
      <c r="K54" s="65"/>
      <c r="L54" s="65"/>
      <c r="M54" s="66"/>
      <c r="N54" s="67"/>
    </row>
    <row r="55" s="30" customFormat="1" ht="28.5" customHeight="1" spans="1:14">
      <c r="A55" s="50" t="s">
        <v>127</v>
      </c>
      <c r="B55" s="45">
        <f t="shared" ref="B55:B78" si="27">C55+D55</f>
        <v>0</v>
      </c>
      <c r="C55" s="47">
        <v>0</v>
      </c>
      <c r="D55" s="47"/>
      <c r="E55" s="45">
        <f t="shared" ref="E55:E77" si="28">F55+G55</f>
        <v>309.68</v>
      </c>
      <c r="F55" s="47">
        <f>27+282.68</f>
        <v>309.68</v>
      </c>
      <c r="G55" s="47"/>
      <c r="H55" s="47">
        <f t="shared" ref="H55:H77" si="29">E55-B55</f>
        <v>309.68</v>
      </c>
      <c r="I55" s="47">
        <f t="shared" ref="I55:I77" si="30">F55-C55</f>
        <v>309.68</v>
      </c>
      <c r="J55" s="46">
        <f t="shared" ref="J55:J77" si="31">G55-D55</f>
        <v>0</v>
      </c>
      <c r="K55" s="65"/>
      <c r="L55" s="65"/>
      <c r="M55" s="65"/>
      <c r="N55" s="67" t="s">
        <v>85</v>
      </c>
    </row>
    <row r="56" s="30" customFormat="1" ht="28.5" customHeight="1" spans="1:14">
      <c r="A56" s="49" t="s">
        <v>128</v>
      </c>
      <c r="B56" s="45">
        <f t="shared" si="27"/>
        <v>35477</v>
      </c>
      <c r="C56" s="47">
        <f>C57+C58</f>
        <v>26403</v>
      </c>
      <c r="D56" s="47">
        <f>D57+D58</f>
        <v>9074</v>
      </c>
      <c r="E56" s="45">
        <f t="shared" si="28"/>
        <v>34886</v>
      </c>
      <c r="F56" s="47">
        <f t="shared" ref="C56:G56" si="32">F57+F58</f>
        <v>27986</v>
      </c>
      <c r="G56" s="47">
        <f t="shared" si="32"/>
        <v>6900</v>
      </c>
      <c r="H56" s="47">
        <f t="shared" si="29"/>
        <v>-591</v>
      </c>
      <c r="I56" s="47">
        <f t="shared" si="30"/>
        <v>1583</v>
      </c>
      <c r="J56" s="46">
        <f t="shared" si="31"/>
        <v>-2174</v>
      </c>
      <c r="K56" s="65">
        <f t="shared" ref="K55:K71" si="33">H56/B56*100</f>
        <v>-1.66586802717253</v>
      </c>
      <c r="L56" s="65">
        <f t="shared" ref="L55:L71" si="34">I56/C56*100</f>
        <v>5.9955308108927</v>
      </c>
      <c r="M56" s="66">
        <v>0</v>
      </c>
      <c r="N56" s="67"/>
    </row>
    <row r="57" s="30" customFormat="1" ht="28.5" customHeight="1" spans="1:14">
      <c r="A57" s="49" t="s">
        <v>129</v>
      </c>
      <c r="B57" s="45">
        <f t="shared" si="27"/>
        <v>10133</v>
      </c>
      <c r="C57" s="47">
        <v>10133</v>
      </c>
      <c r="D57" s="47">
        <v>0</v>
      </c>
      <c r="E57" s="45">
        <f t="shared" si="28"/>
        <v>10133</v>
      </c>
      <c r="F57" s="47">
        <f>6619+3514</f>
        <v>10133</v>
      </c>
      <c r="G57" s="47"/>
      <c r="H57" s="47">
        <f t="shared" si="29"/>
        <v>0</v>
      </c>
      <c r="I57" s="47">
        <f t="shared" si="30"/>
        <v>0</v>
      </c>
      <c r="J57" s="46">
        <f t="shared" si="31"/>
        <v>0</v>
      </c>
      <c r="K57" s="65">
        <f t="shared" si="33"/>
        <v>0</v>
      </c>
      <c r="L57" s="65">
        <f t="shared" si="34"/>
        <v>0</v>
      </c>
      <c r="M57" s="66">
        <v>0</v>
      </c>
      <c r="N57" s="67"/>
    </row>
    <row r="58" s="30" customFormat="1" ht="28.5" customHeight="1" spans="1:14">
      <c r="A58" s="49" t="s">
        <v>130</v>
      </c>
      <c r="B58" s="45">
        <f t="shared" si="27"/>
        <v>25344</v>
      </c>
      <c r="C58" s="45">
        <v>16270</v>
      </c>
      <c r="D58" s="45">
        <f>SUM(D59:D75)</f>
        <v>9074</v>
      </c>
      <c r="E58" s="45">
        <f>SUM(E59:E71)</f>
        <v>14573</v>
      </c>
      <c r="F58" s="45">
        <f>SUM(F59:F75)</f>
        <v>17853</v>
      </c>
      <c r="G58" s="45">
        <f>SUM(G59:G75)</f>
        <v>6900</v>
      </c>
      <c r="H58" s="47">
        <f t="shared" si="29"/>
        <v>-10771</v>
      </c>
      <c r="I58" s="47">
        <f t="shared" si="30"/>
        <v>1583</v>
      </c>
      <c r="J58" s="46">
        <f t="shared" si="31"/>
        <v>-2174</v>
      </c>
      <c r="K58" s="65">
        <f t="shared" si="33"/>
        <v>-42.4992108585859</v>
      </c>
      <c r="L58" s="65">
        <f t="shared" si="34"/>
        <v>9.72956361401352</v>
      </c>
      <c r="M58" s="66">
        <v>0</v>
      </c>
      <c r="N58" s="67"/>
    </row>
    <row r="59" s="30" customFormat="1" ht="28.5" customHeight="1" spans="1:14">
      <c r="A59" s="49" t="s">
        <v>131</v>
      </c>
      <c r="B59" s="45">
        <f t="shared" si="27"/>
        <v>890</v>
      </c>
      <c r="C59" s="47">
        <v>890</v>
      </c>
      <c r="D59" s="47">
        <v>0</v>
      </c>
      <c r="E59" s="45">
        <f t="shared" si="28"/>
        <v>890</v>
      </c>
      <c r="F59" s="47">
        <v>890</v>
      </c>
      <c r="G59" s="47"/>
      <c r="H59" s="47">
        <f t="shared" si="29"/>
        <v>0</v>
      </c>
      <c r="I59" s="47">
        <f t="shared" si="30"/>
        <v>0</v>
      </c>
      <c r="J59" s="46">
        <f t="shared" si="31"/>
        <v>0</v>
      </c>
      <c r="K59" s="65">
        <f t="shared" si="33"/>
        <v>0</v>
      </c>
      <c r="L59" s="65">
        <f t="shared" si="34"/>
        <v>0</v>
      </c>
      <c r="M59" s="66">
        <v>0</v>
      </c>
      <c r="N59" s="67"/>
    </row>
    <row r="60" s="30" customFormat="1" ht="28.5" customHeight="1" spans="1:14">
      <c r="A60" s="49" t="s">
        <v>132</v>
      </c>
      <c r="B60" s="45">
        <f t="shared" si="27"/>
        <v>0</v>
      </c>
      <c r="C60" s="47">
        <v>0</v>
      </c>
      <c r="D60" s="47">
        <v>0</v>
      </c>
      <c r="E60" s="45">
        <f t="shared" si="28"/>
        <v>200</v>
      </c>
      <c r="F60" s="47">
        <v>200</v>
      </c>
      <c r="G60" s="47"/>
      <c r="H60" s="47">
        <f t="shared" si="29"/>
        <v>200</v>
      </c>
      <c r="I60" s="47">
        <f t="shared" si="30"/>
        <v>200</v>
      </c>
      <c r="J60" s="46">
        <f t="shared" si="31"/>
        <v>0</v>
      </c>
      <c r="K60" s="65">
        <v>0</v>
      </c>
      <c r="L60" s="65">
        <v>0</v>
      </c>
      <c r="M60" s="66">
        <v>0</v>
      </c>
      <c r="N60" s="67"/>
    </row>
    <row r="61" s="30" customFormat="1" ht="42.75" customHeight="1" spans="1:14">
      <c r="A61" s="49" t="s">
        <v>133</v>
      </c>
      <c r="B61" s="45">
        <f t="shared" si="27"/>
        <v>3467</v>
      </c>
      <c r="C61" s="47">
        <v>3467</v>
      </c>
      <c r="D61" s="47">
        <v>0</v>
      </c>
      <c r="E61" s="45">
        <f t="shared" si="28"/>
        <v>3467</v>
      </c>
      <c r="F61" s="47">
        <v>3467</v>
      </c>
      <c r="G61" s="47"/>
      <c r="H61" s="47">
        <f t="shared" si="29"/>
        <v>0</v>
      </c>
      <c r="I61" s="47">
        <f t="shared" si="30"/>
        <v>0</v>
      </c>
      <c r="J61" s="46">
        <f t="shared" si="31"/>
        <v>0</v>
      </c>
      <c r="K61" s="65">
        <f t="shared" si="33"/>
        <v>0</v>
      </c>
      <c r="L61" s="65">
        <f t="shared" si="34"/>
        <v>0</v>
      </c>
      <c r="M61" s="66">
        <v>0</v>
      </c>
      <c r="N61" s="67"/>
    </row>
    <row r="62" s="30" customFormat="1" ht="42.75" customHeight="1" spans="1:14">
      <c r="A62" s="54" t="s">
        <v>134</v>
      </c>
      <c r="B62" s="45">
        <f t="shared" si="27"/>
        <v>30</v>
      </c>
      <c r="C62" s="47">
        <v>30</v>
      </c>
      <c r="D62" s="47">
        <v>0</v>
      </c>
      <c r="E62" s="45">
        <f t="shared" si="28"/>
        <v>329</v>
      </c>
      <c r="F62" s="47">
        <v>329</v>
      </c>
      <c r="G62" s="47"/>
      <c r="H62" s="47">
        <f t="shared" si="29"/>
        <v>299</v>
      </c>
      <c r="I62" s="47">
        <f t="shared" si="30"/>
        <v>299</v>
      </c>
      <c r="J62" s="46">
        <f t="shared" si="31"/>
        <v>0</v>
      </c>
      <c r="K62" s="65">
        <f t="shared" si="33"/>
        <v>996.666666666667</v>
      </c>
      <c r="L62" s="65">
        <f t="shared" si="34"/>
        <v>996.666666666667</v>
      </c>
      <c r="M62" s="66">
        <v>0</v>
      </c>
      <c r="N62" s="67"/>
    </row>
    <row r="63" s="30" customFormat="1" ht="42.75" customHeight="1" spans="1:14">
      <c r="A63" s="54" t="s">
        <v>135</v>
      </c>
      <c r="B63" s="45">
        <f t="shared" si="27"/>
        <v>4000</v>
      </c>
      <c r="C63" s="47">
        <v>4000</v>
      </c>
      <c r="D63" s="47">
        <v>0</v>
      </c>
      <c r="E63" s="45">
        <f t="shared" si="28"/>
        <v>4000</v>
      </c>
      <c r="F63" s="47">
        <v>4000</v>
      </c>
      <c r="G63" s="47"/>
      <c r="H63" s="47">
        <f t="shared" si="29"/>
        <v>0</v>
      </c>
      <c r="I63" s="47">
        <f t="shared" si="30"/>
        <v>0</v>
      </c>
      <c r="J63" s="46">
        <f t="shared" si="31"/>
        <v>0</v>
      </c>
      <c r="K63" s="65">
        <f t="shared" si="33"/>
        <v>0</v>
      </c>
      <c r="L63" s="65">
        <f t="shared" si="34"/>
        <v>0</v>
      </c>
      <c r="M63" s="66">
        <v>0</v>
      </c>
      <c r="N63" s="67"/>
    </row>
    <row r="64" s="30" customFormat="1" ht="42.75" customHeight="1" spans="1:14">
      <c r="A64" s="54" t="s">
        <v>136</v>
      </c>
      <c r="B64" s="45">
        <f t="shared" si="27"/>
        <v>69</v>
      </c>
      <c r="C64" s="47">
        <v>69</v>
      </c>
      <c r="D64" s="47">
        <v>0</v>
      </c>
      <c r="E64" s="45">
        <f t="shared" si="28"/>
        <v>69</v>
      </c>
      <c r="F64" s="47">
        <v>69</v>
      </c>
      <c r="G64" s="47"/>
      <c r="H64" s="47">
        <f t="shared" si="29"/>
        <v>0</v>
      </c>
      <c r="I64" s="47">
        <f t="shared" si="30"/>
        <v>0</v>
      </c>
      <c r="J64" s="46">
        <f t="shared" si="31"/>
        <v>0</v>
      </c>
      <c r="K64" s="65">
        <f t="shared" si="33"/>
        <v>0</v>
      </c>
      <c r="L64" s="65">
        <f t="shared" si="34"/>
        <v>0</v>
      </c>
      <c r="M64" s="66">
        <v>0</v>
      </c>
      <c r="N64" s="67"/>
    </row>
    <row r="65" s="30" customFormat="1" ht="42.75" customHeight="1" spans="1:14">
      <c r="A65" s="54" t="s">
        <v>137</v>
      </c>
      <c r="B65" s="45">
        <f t="shared" si="27"/>
        <v>1500</v>
      </c>
      <c r="C65" s="47">
        <v>1500</v>
      </c>
      <c r="D65" s="47">
        <v>0</v>
      </c>
      <c r="E65" s="45">
        <f t="shared" si="28"/>
        <v>1500</v>
      </c>
      <c r="F65" s="47">
        <v>1500</v>
      </c>
      <c r="G65" s="47"/>
      <c r="H65" s="47">
        <f t="shared" si="29"/>
        <v>0</v>
      </c>
      <c r="I65" s="47">
        <f t="shared" si="30"/>
        <v>0</v>
      </c>
      <c r="J65" s="46">
        <f t="shared" si="31"/>
        <v>0</v>
      </c>
      <c r="K65" s="65">
        <f t="shared" si="33"/>
        <v>0</v>
      </c>
      <c r="L65" s="65">
        <f t="shared" si="34"/>
        <v>0</v>
      </c>
      <c r="M65" s="66">
        <v>0</v>
      </c>
      <c r="N65" s="67"/>
    </row>
    <row r="66" s="30" customFormat="1" ht="44.25" customHeight="1" spans="1:14">
      <c r="A66" s="54" t="s">
        <v>138</v>
      </c>
      <c r="B66" s="45">
        <f t="shared" si="27"/>
        <v>1200</v>
      </c>
      <c r="C66" s="47">
        <v>1200</v>
      </c>
      <c r="D66" s="47">
        <v>0</v>
      </c>
      <c r="E66" s="45">
        <f t="shared" si="28"/>
        <v>1200</v>
      </c>
      <c r="F66" s="47">
        <v>1200</v>
      </c>
      <c r="G66" s="47"/>
      <c r="H66" s="47">
        <f t="shared" si="29"/>
        <v>0</v>
      </c>
      <c r="I66" s="47">
        <f t="shared" ref="I66:I81" si="35">F66-C66</f>
        <v>0</v>
      </c>
      <c r="J66" s="46">
        <f t="shared" si="31"/>
        <v>0</v>
      </c>
      <c r="K66" s="65">
        <f t="shared" si="33"/>
        <v>0</v>
      </c>
      <c r="L66" s="65">
        <f t="shared" si="34"/>
        <v>0</v>
      </c>
      <c r="M66" s="66">
        <v>0</v>
      </c>
      <c r="N66" s="67"/>
    </row>
    <row r="67" s="30" customFormat="1" ht="49.5" customHeight="1" spans="1:14">
      <c r="A67" s="49" t="s">
        <v>139</v>
      </c>
      <c r="B67" s="45">
        <f t="shared" si="27"/>
        <v>1200</v>
      </c>
      <c r="C67" s="47">
        <v>1200</v>
      </c>
      <c r="D67" s="47">
        <v>0</v>
      </c>
      <c r="E67" s="45">
        <f t="shared" si="28"/>
        <v>1200</v>
      </c>
      <c r="F67" s="47">
        <v>1200</v>
      </c>
      <c r="G67" s="47"/>
      <c r="H67" s="47">
        <f t="shared" si="29"/>
        <v>0</v>
      </c>
      <c r="I67" s="47">
        <f t="shared" si="35"/>
        <v>0</v>
      </c>
      <c r="J67" s="46">
        <f t="shared" si="31"/>
        <v>0</v>
      </c>
      <c r="K67" s="65">
        <f t="shared" si="33"/>
        <v>0</v>
      </c>
      <c r="L67" s="65">
        <f t="shared" si="34"/>
        <v>0</v>
      </c>
      <c r="M67" s="66">
        <v>0</v>
      </c>
      <c r="N67" s="67"/>
    </row>
    <row r="68" s="30" customFormat="1" ht="59.25" customHeight="1" spans="1:14">
      <c r="A68" s="49" t="s">
        <v>140</v>
      </c>
      <c r="B68" s="45">
        <f t="shared" si="27"/>
        <v>0</v>
      </c>
      <c r="C68" s="47">
        <v>0</v>
      </c>
      <c r="D68" s="47">
        <v>0</v>
      </c>
      <c r="E68" s="45">
        <f t="shared" si="28"/>
        <v>0</v>
      </c>
      <c r="F68" s="47"/>
      <c r="G68" s="47"/>
      <c r="H68" s="47">
        <f t="shared" si="29"/>
        <v>0</v>
      </c>
      <c r="I68" s="47">
        <f t="shared" si="35"/>
        <v>0</v>
      </c>
      <c r="J68" s="46">
        <f t="shared" si="31"/>
        <v>0</v>
      </c>
      <c r="K68" s="65"/>
      <c r="L68" s="65"/>
      <c r="M68" s="66">
        <v>0</v>
      </c>
      <c r="N68" s="67"/>
    </row>
    <row r="69" s="30" customFormat="1" ht="45" customHeight="1" spans="1:14">
      <c r="A69" s="49" t="s">
        <v>141</v>
      </c>
      <c r="B69" s="45">
        <f t="shared" si="27"/>
        <v>0</v>
      </c>
      <c r="C69" s="47">
        <v>0</v>
      </c>
      <c r="D69" s="47">
        <v>0</v>
      </c>
      <c r="E69" s="45">
        <f t="shared" si="28"/>
        <v>584</v>
      </c>
      <c r="F69" s="47">
        <v>584</v>
      </c>
      <c r="G69" s="47"/>
      <c r="H69" s="47">
        <f t="shared" si="29"/>
        <v>584</v>
      </c>
      <c r="I69" s="47">
        <f t="shared" si="35"/>
        <v>584</v>
      </c>
      <c r="J69" s="46">
        <f t="shared" si="31"/>
        <v>0</v>
      </c>
      <c r="K69" s="65"/>
      <c r="L69" s="65"/>
      <c r="M69" s="66">
        <v>0</v>
      </c>
      <c r="N69" s="67"/>
    </row>
    <row r="70" s="30" customFormat="1" ht="38" customHeight="1" spans="1:14">
      <c r="A70" s="49" t="s">
        <v>142</v>
      </c>
      <c r="B70" s="45">
        <f t="shared" si="27"/>
        <v>634</v>
      </c>
      <c r="C70" s="47">
        <v>634</v>
      </c>
      <c r="D70" s="47">
        <v>0</v>
      </c>
      <c r="E70" s="45">
        <f t="shared" si="28"/>
        <v>634</v>
      </c>
      <c r="F70" s="47">
        <v>634</v>
      </c>
      <c r="G70" s="47"/>
      <c r="H70" s="47">
        <f t="shared" si="29"/>
        <v>0</v>
      </c>
      <c r="I70" s="47">
        <f t="shared" si="35"/>
        <v>0</v>
      </c>
      <c r="J70" s="46">
        <f t="shared" si="31"/>
        <v>0</v>
      </c>
      <c r="K70" s="65">
        <f t="shared" si="33"/>
        <v>0</v>
      </c>
      <c r="L70" s="65">
        <f t="shared" si="34"/>
        <v>0</v>
      </c>
      <c r="M70" s="66">
        <v>0</v>
      </c>
      <c r="N70" s="67"/>
    </row>
    <row r="71" s="30" customFormat="1" ht="38" customHeight="1" spans="1:14">
      <c r="A71" s="49" t="s">
        <v>143</v>
      </c>
      <c r="B71" s="45">
        <f t="shared" si="27"/>
        <v>0</v>
      </c>
      <c r="C71" s="47">
        <v>0</v>
      </c>
      <c r="D71" s="47"/>
      <c r="E71" s="45">
        <f t="shared" si="28"/>
        <v>500</v>
      </c>
      <c r="F71" s="47">
        <v>500</v>
      </c>
      <c r="G71" s="47"/>
      <c r="H71" s="47">
        <f t="shared" si="29"/>
        <v>500</v>
      </c>
      <c r="I71" s="47">
        <f t="shared" si="35"/>
        <v>500</v>
      </c>
      <c r="J71" s="46">
        <f t="shared" si="31"/>
        <v>0</v>
      </c>
      <c r="K71" s="65"/>
      <c r="L71" s="65"/>
      <c r="M71" s="66">
        <v>0</v>
      </c>
      <c r="N71" s="67"/>
    </row>
    <row r="72" s="30" customFormat="1" ht="38" customHeight="1" spans="1:14">
      <c r="A72" s="49" t="s">
        <v>144</v>
      </c>
      <c r="B72" s="45"/>
      <c r="C72" s="47"/>
      <c r="D72" s="47">
        <v>4600</v>
      </c>
      <c r="E72" s="45"/>
      <c r="F72" s="47"/>
      <c r="G72" s="47">
        <v>4523</v>
      </c>
      <c r="H72" s="47"/>
      <c r="I72" s="47">
        <f t="shared" si="35"/>
        <v>0</v>
      </c>
      <c r="J72" s="46">
        <f t="shared" si="31"/>
        <v>-77</v>
      </c>
      <c r="K72" s="65"/>
      <c r="L72" s="65"/>
      <c r="M72" s="65">
        <f>J72/D72*100</f>
        <v>-1.67391304347826</v>
      </c>
      <c r="N72" s="67"/>
    </row>
    <row r="73" s="30" customFormat="1" ht="38" customHeight="1" spans="1:14">
      <c r="A73" s="49" t="s">
        <v>145</v>
      </c>
      <c r="B73" s="45">
        <f>C73+D73</f>
        <v>1879</v>
      </c>
      <c r="C73" s="47">
        <v>1505</v>
      </c>
      <c r="D73" s="47">
        <v>374</v>
      </c>
      <c r="E73" s="45">
        <f t="shared" ref="E73:E81" si="36">F73+G73</f>
        <v>1879</v>
      </c>
      <c r="F73" s="47">
        <v>1505</v>
      </c>
      <c r="G73" s="47">
        <v>374</v>
      </c>
      <c r="H73" s="47">
        <f t="shared" ref="H73:H81" si="37">E73-B73</f>
        <v>0</v>
      </c>
      <c r="I73" s="47">
        <f t="shared" si="35"/>
        <v>0</v>
      </c>
      <c r="J73" s="46">
        <f t="shared" si="31"/>
        <v>0</v>
      </c>
      <c r="K73" s="65">
        <v>0</v>
      </c>
      <c r="L73" s="65">
        <f>I73/C73*100</f>
        <v>0</v>
      </c>
      <c r="M73" s="66">
        <v>0</v>
      </c>
      <c r="N73" s="67"/>
    </row>
    <row r="74" s="30" customFormat="1" ht="38" customHeight="1" spans="1:14">
      <c r="A74" s="49" t="s">
        <v>146</v>
      </c>
      <c r="B74" s="45">
        <f>C74+D74</f>
        <v>4275</v>
      </c>
      <c r="C74" s="47">
        <v>1775</v>
      </c>
      <c r="D74" s="47">
        <v>2500</v>
      </c>
      <c r="E74" s="45">
        <f t="shared" si="36"/>
        <v>1775</v>
      </c>
      <c r="F74" s="47">
        <v>1775</v>
      </c>
      <c r="G74" s="47"/>
      <c r="H74" s="47">
        <f t="shared" si="37"/>
        <v>-2500</v>
      </c>
      <c r="I74" s="47">
        <f t="shared" si="35"/>
        <v>0</v>
      </c>
      <c r="J74" s="46">
        <f t="shared" si="31"/>
        <v>-2500</v>
      </c>
      <c r="K74" s="65">
        <f>H74/B74*100</f>
        <v>-58.4795321637427</v>
      </c>
      <c r="L74" s="65">
        <f>I74/C74*100</f>
        <v>0</v>
      </c>
      <c r="M74" s="65">
        <f>J74/D74*100</f>
        <v>-100</v>
      </c>
      <c r="N74" s="67"/>
    </row>
    <row r="75" s="32" customFormat="1" ht="33" customHeight="1" spans="1:14">
      <c r="A75" s="68" t="s">
        <v>147</v>
      </c>
      <c r="B75" s="45">
        <f>C75+D75</f>
        <v>1600</v>
      </c>
      <c r="C75" s="47">
        <v>0</v>
      </c>
      <c r="D75" s="69">
        <v>1600</v>
      </c>
      <c r="E75" s="45">
        <f t="shared" si="36"/>
        <v>2003</v>
      </c>
      <c r="F75" s="69"/>
      <c r="G75" s="69">
        <v>2003</v>
      </c>
      <c r="H75" s="47">
        <f t="shared" si="37"/>
        <v>403</v>
      </c>
      <c r="I75" s="47">
        <f t="shared" si="35"/>
        <v>0</v>
      </c>
      <c r="J75" s="46">
        <f t="shared" si="31"/>
        <v>403</v>
      </c>
      <c r="K75" s="65">
        <v>0</v>
      </c>
      <c r="L75" s="65"/>
      <c r="M75" s="66">
        <v>0</v>
      </c>
      <c r="N75" s="70"/>
    </row>
    <row r="76" s="32" customFormat="1" ht="33" customHeight="1" spans="1:14">
      <c r="A76" s="68" t="s">
        <v>148</v>
      </c>
      <c r="B76" s="45">
        <f t="shared" ref="B76:B81" si="38">C76+D76</f>
        <v>34890</v>
      </c>
      <c r="C76" s="47">
        <v>34890</v>
      </c>
      <c r="D76" s="69"/>
      <c r="E76" s="45">
        <f t="shared" si="36"/>
        <v>34885</v>
      </c>
      <c r="F76" s="69">
        <f>5+34880</f>
        <v>34885</v>
      </c>
      <c r="G76" s="69"/>
      <c r="H76" s="47">
        <f t="shared" si="37"/>
        <v>-5</v>
      </c>
      <c r="I76" s="47">
        <f t="shared" si="35"/>
        <v>-5</v>
      </c>
      <c r="J76" s="46"/>
      <c r="K76" s="65">
        <f>H76/B76*100</f>
        <v>-0.0143307537976498</v>
      </c>
      <c r="L76" s="65">
        <f>I76/C76*100</f>
        <v>-0.0143307537976498</v>
      </c>
      <c r="M76" s="66"/>
      <c r="N76" s="70"/>
    </row>
    <row r="77" s="32" customFormat="1" ht="33" customHeight="1" spans="1:14">
      <c r="A77" s="68" t="s">
        <v>149</v>
      </c>
      <c r="B77" s="45">
        <f t="shared" si="38"/>
        <v>1805</v>
      </c>
      <c r="C77" s="47">
        <v>1805</v>
      </c>
      <c r="D77" s="69"/>
      <c r="E77" s="45">
        <f t="shared" si="36"/>
        <v>1800</v>
      </c>
      <c r="F77" s="69">
        <v>1800</v>
      </c>
      <c r="G77" s="69"/>
      <c r="H77" s="47">
        <f t="shared" si="37"/>
        <v>-5</v>
      </c>
      <c r="I77" s="47">
        <f t="shared" si="35"/>
        <v>-5</v>
      </c>
      <c r="J77" s="46"/>
      <c r="K77" s="65">
        <f>H77/B77*100</f>
        <v>-0.277008310249307</v>
      </c>
      <c r="L77" s="65">
        <f>I77/C77*100</f>
        <v>-0.277008310249307</v>
      </c>
      <c r="M77" s="66"/>
      <c r="N77" s="70"/>
    </row>
    <row r="78" s="30" customFormat="1" ht="28.5" customHeight="1" spans="1:14">
      <c r="A78" s="49" t="s">
        <v>150</v>
      </c>
      <c r="B78" s="45">
        <f t="shared" si="38"/>
        <v>0</v>
      </c>
      <c r="C78" s="47">
        <v>0</v>
      </c>
      <c r="D78" s="47">
        <v>0</v>
      </c>
      <c r="E78" s="45">
        <f t="shared" si="36"/>
        <v>69</v>
      </c>
      <c r="F78" s="47">
        <v>69</v>
      </c>
      <c r="G78" s="47">
        <v>0</v>
      </c>
      <c r="H78" s="47">
        <f t="shared" si="37"/>
        <v>69</v>
      </c>
      <c r="I78" s="47">
        <f t="shared" si="35"/>
        <v>69</v>
      </c>
      <c r="J78" s="46">
        <f>G78-D78</f>
        <v>0</v>
      </c>
      <c r="K78" s="65">
        <v>0</v>
      </c>
      <c r="L78" s="65">
        <v>0</v>
      </c>
      <c r="M78" s="66">
        <v>0</v>
      </c>
      <c r="N78" s="67"/>
    </row>
    <row r="79" s="30" customFormat="1" ht="28.5" customHeight="1" spans="1:14">
      <c r="A79" s="49" t="s">
        <v>151</v>
      </c>
      <c r="B79" s="45">
        <f t="shared" si="38"/>
        <v>68283</v>
      </c>
      <c r="C79" s="47">
        <v>68283</v>
      </c>
      <c r="D79" s="47"/>
      <c r="E79" s="45">
        <f t="shared" si="36"/>
        <v>76050</v>
      </c>
      <c r="F79" s="47">
        <v>68283</v>
      </c>
      <c r="G79" s="47">
        <v>7767</v>
      </c>
      <c r="H79" s="47">
        <f t="shared" si="37"/>
        <v>7767</v>
      </c>
      <c r="I79" s="47">
        <f t="shared" si="35"/>
        <v>0</v>
      </c>
      <c r="J79" s="46">
        <f>G79-D79</f>
        <v>7767</v>
      </c>
      <c r="K79" s="65">
        <f>H79/B79*100</f>
        <v>11.3747199156452</v>
      </c>
      <c r="L79" s="65">
        <f>I79/C79*100</f>
        <v>0</v>
      </c>
      <c r="M79" s="65"/>
      <c r="N79" s="67"/>
    </row>
    <row r="80" s="30" customFormat="1" ht="28.5" customHeight="1" spans="1:14">
      <c r="A80" s="49" t="s">
        <v>152</v>
      </c>
      <c r="B80" s="45">
        <f t="shared" si="38"/>
        <v>0</v>
      </c>
      <c r="C80" s="47">
        <v>0</v>
      </c>
      <c r="D80" s="47">
        <v>0</v>
      </c>
      <c r="E80" s="45">
        <f t="shared" si="36"/>
        <v>55918</v>
      </c>
      <c r="F80" s="47">
        <f>32978+22940</f>
        <v>55918</v>
      </c>
      <c r="G80" s="47"/>
      <c r="H80" s="47">
        <f t="shared" si="37"/>
        <v>55918</v>
      </c>
      <c r="I80" s="47">
        <f t="shared" si="35"/>
        <v>55918</v>
      </c>
      <c r="J80" s="46">
        <f>G80-D80</f>
        <v>0</v>
      </c>
      <c r="K80" s="65"/>
      <c r="L80" s="65"/>
      <c r="M80" s="66">
        <v>0</v>
      </c>
      <c r="N80" s="67"/>
    </row>
    <row r="81" s="30" customFormat="1" ht="28.5" customHeight="1" spans="1:14">
      <c r="A81" s="49" t="s">
        <v>153</v>
      </c>
      <c r="B81" s="47">
        <f t="shared" ref="B81:G81" si="39">B5+B6-B56+B78+B80+B79-B76-B77</f>
        <v>1039136.7265</v>
      </c>
      <c r="C81" s="47">
        <f t="shared" si="39"/>
        <v>843272.64</v>
      </c>
      <c r="D81" s="47">
        <f t="shared" si="39"/>
        <v>195864.0865</v>
      </c>
      <c r="E81" s="45">
        <f t="shared" si="36"/>
        <v>1176677.332434</v>
      </c>
      <c r="F81" s="47">
        <f>F5+F6-F56+F78+F80+F79-F76-F77</f>
        <v>957367.202434</v>
      </c>
      <c r="G81" s="47">
        <f t="shared" si="39"/>
        <v>219310.13</v>
      </c>
      <c r="H81" s="47">
        <f t="shared" si="37"/>
        <v>137540.605934</v>
      </c>
      <c r="I81" s="47">
        <f t="shared" si="35"/>
        <v>114094.562434</v>
      </c>
      <c r="J81" s="46">
        <f>G81-D81</f>
        <v>23446.0435</v>
      </c>
      <c r="K81" s="65">
        <f>H81/B81*100</f>
        <v>13.2360451157627</v>
      </c>
      <c r="L81" s="65">
        <f>I81/C81*100</f>
        <v>13.52997322835</v>
      </c>
      <c r="M81" s="66">
        <f>J81/D81*100</f>
        <v>11.9705679172583</v>
      </c>
      <c r="N81" s="67"/>
    </row>
  </sheetData>
  <autoFilter ref="A4:S81">
    <extLst/>
  </autoFilter>
  <mergeCells count="10">
    <mergeCell ref="A1:N1"/>
    <mergeCell ref="A2:B2"/>
    <mergeCell ref="E2:I2"/>
    <mergeCell ref="M2:N2"/>
    <mergeCell ref="B3:D3"/>
    <mergeCell ref="E3:G3"/>
    <mergeCell ref="H3:J3"/>
    <mergeCell ref="K3:M3"/>
    <mergeCell ref="A3:A4"/>
    <mergeCell ref="N3:N4"/>
  </mergeCells>
  <pageMargins left="0.708333333333333" right="0.708333333333333" top="0.747916666666667" bottom="0.747916666666667" header="0.314583333333333" footer="0.314583333333333"/>
  <pageSetup paperSize="9" scale="70" fitToHeight="0" orientation="landscape" horizontalDpi="600"/>
  <headerFooter>
    <oddFooter>&amp;C第 &amp;P 页</oddFooter>
  </headerFooter>
  <rowBreaks count="1" manualBreakCount="1">
    <brk id="8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34"/>
  <sheetViews>
    <sheetView showZeros="0" view="pageBreakPreview" zoomScaleNormal="100" workbookViewId="0">
      <pane xSplit="2" ySplit="4" topLeftCell="L14" activePane="bottomRight" state="frozen"/>
      <selection/>
      <selection pane="topRight"/>
      <selection pane="bottomLeft"/>
      <selection pane="bottomRight" activeCell="W17" sqref="W17"/>
    </sheetView>
  </sheetViews>
  <sheetFormatPr defaultColWidth="9" defaultRowHeight="13.5"/>
  <cols>
    <col min="1" max="1" width="7.5" style="1" customWidth="1"/>
    <col min="2" max="2" width="15.875" style="1" customWidth="1"/>
    <col min="3" max="3" width="10.125" style="1" customWidth="1"/>
    <col min="4" max="4" width="9.25" style="1" customWidth="1"/>
    <col min="5" max="5" width="12.125" style="1"/>
    <col min="6" max="6" width="7.5" style="1" customWidth="1"/>
    <col min="7" max="7" width="8.375" style="1" customWidth="1"/>
    <col min="8" max="8" width="7" style="1" customWidth="1"/>
    <col min="9" max="10" width="8.375" style="1" customWidth="1"/>
    <col min="11" max="11" width="6.875" style="1" customWidth="1"/>
    <col min="12" max="14" width="7" style="1" customWidth="1"/>
    <col min="15" max="15" width="7.5" style="1" customWidth="1"/>
    <col min="16" max="17" width="7" style="1" customWidth="1"/>
    <col min="18" max="18" width="7.625" style="1" customWidth="1"/>
    <col min="19" max="26" width="7" style="1" customWidth="1"/>
    <col min="27" max="27" width="9.875" style="1" customWidth="1"/>
    <col min="28" max="29" width="8.875" style="1" customWidth="1"/>
    <col min="30" max="30" width="10.625" style="2" customWidth="1"/>
    <col min="31" max="31" width="10.625" style="3" customWidth="1"/>
    <col min="32" max="32" width="12.625" style="3"/>
    <col min="33" max="33" width="11.5" style="1" customWidth="1"/>
    <col min="34" max="16384" width="9" style="1"/>
  </cols>
  <sheetData>
    <row r="1" s="1" customFormat="1" ht="27" spans="1:32">
      <c r="A1" s="4" t="s">
        <v>154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="1" customFormat="1" ht="18.75" spans="1:32">
      <c r="A2" s="1" t="s">
        <v>1</v>
      </c>
      <c r="B2" s="5"/>
      <c r="C2" s="6"/>
      <c r="D2" s="6"/>
      <c r="E2" s="6"/>
      <c r="F2" s="7"/>
      <c r="G2" s="8" t="str">
        <f>附表1收入调整表2022!E2</f>
        <v>编制日期：2022年12月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6"/>
      <c r="AA2" s="6"/>
      <c r="AB2" s="6"/>
      <c r="AC2" s="6"/>
      <c r="AD2" s="28"/>
      <c r="AE2" s="29" t="s">
        <v>3</v>
      </c>
      <c r="AF2" s="29"/>
    </row>
    <row r="3" s="1" customFormat="1" ht="48" customHeight="1" spans="1:32">
      <c r="A3" s="9" t="s">
        <v>155</v>
      </c>
      <c r="B3" s="9" t="s">
        <v>156</v>
      </c>
      <c r="C3" s="9" t="s">
        <v>157</v>
      </c>
      <c r="D3" s="10" t="s">
        <v>158</v>
      </c>
      <c r="E3" s="10"/>
      <c r="F3" s="9" t="s">
        <v>159</v>
      </c>
      <c r="G3" s="10" t="s">
        <v>158</v>
      </c>
      <c r="H3" s="10"/>
      <c r="I3" s="9" t="s">
        <v>160</v>
      </c>
      <c r="J3" s="10" t="s">
        <v>158</v>
      </c>
      <c r="K3" s="10"/>
      <c r="L3" s="9" t="s">
        <v>161</v>
      </c>
      <c r="M3" s="10" t="s">
        <v>158</v>
      </c>
      <c r="N3" s="10"/>
      <c r="O3" s="19" t="s">
        <v>162</v>
      </c>
      <c r="P3" s="10" t="s">
        <v>158</v>
      </c>
      <c r="Q3" s="10"/>
      <c r="R3" s="19" t="s">
        <v>163</v>
      </c>
      <c r="S3" s="10" t="s">
        <v>158</v>
      </c>
      <c r="T3" s="10"/>
      <c r="U3" s="9" t="s">
        <v>164</v>
      </c>
      <c r="V3" s="10" t="s">
        <v>158</v>
      </c>
      <c r="W3" s="10"/>
      <c r="X3" s="9" t="s">
        <v>165</v>
      </c>
      <c r="Y3" s="10" t="s">
        <v>158</v>
      </c>
      <c r="Z3" s="10"/>
      <c r="AA3" s="9" t="s">
        <v>166</v>
      </c>
      <c r="AB3" s="10" t="s">
        <v>158</v>
      </c>
      <c r="AC3" s="10"/>
      <c r="AD3" s="9" t="s">
        <v>167</v>
      </c>
      <c r="AE3" s="22" t="s">
        <v>158</v>
      </c>
      <c r="AF3" s="22"/>
    </row>
    <row r="4" s="1" customFormat="1" ht="48" customHeight="1" spans="1:32">
      <c r="A4" s="9"/>
      <c r="B4" s="9"/>
      <c r="C4" s="9"/>
      <c r="D4" s="11" t="s">
        <v>10</v>
      </c>
      <c r="E4" s="11" t="s">
        <v>11</v>
      </c>
      <c r="F4" s="9"/>
      <c r="G4" s="11" t="s">
        <v>10</v>
      </c>
      <c r="H4" s="11" t="s">
        <v>11</v>
      </c>
      <c r="I4" s="9"/>
      <c r="J4" s="11" t="s">
        <v>10</v>
      </c>
      <c r="K4" s="11" t="s">
        <v>11</v>
      </c>
      <c r="L4" s="9"/>
      <c r="M4" s="11" t="s">
        <v>10</v>
      </c>
      <c r="N4" s="11" t="s">
        <v>11</v>
      </c>
      <c r="O4" s="20"/>
      <c r="P4" s="11" t="s">
        <v>10</v>
      </c>
      <c r="Q4" s="11" t="s">
        <v>11</v>
      </c>
      <c r="R4" s="20"/>
      <c r="S4" s="11" t="s">
        <v>10</v>
      </c>
      <c r="T4" s="11" t="s">
        <v>11</v>
      </c>
      <c r="U4" s="9"/>
      <c r="V4" s="11" t="s">
        <v>10</v>
      </c>
      <c r="W4" s="11" t="s">
        <v>11</v>
      </c>
      <c r="X4" s="9"/>
      <c r="Y4" s="11" t="s">
        <v>10</v>
      </c>
      <c r="Z4" s="11" t="s">
        <v>11</v>
      </c>
      <c r="AA4" s="9"/>
      <c r="AB4" s="11" t="s">
        <v>10</v>
      </c>
      <c r="AC4" s="11" t="s">
        <v>11</v>
      </c>
      <c r="AD4" s="9"/>
      <c r="AE4" s="23" t="s">
        <v>10</v>
      </c>
      <c r="AF4" s="24" t="s">
        <v>11</v>
      </c>
    </row>
    <row r="5" s="1" customFormat="1" ht="29" customHeight="1" spans="1:32">
      <c r="A5" s="12">
        <v>201</v>
      </c>
      <c r="B5" s="13" t="s">
        <v>168</v>
      </c>
      <c r="C5" s="26">
        <f t="shared" ref="C5:C18" si="0">D5+E5</f>
        <v>77999.79</v>
      </c>
      <c r="D5" s="27">
        <v>62183.79</v>
      </c>
      <c r="E5" s="26">
        <v>15816</v>
      </c>
      <c r="F5" s="26">
        <f t="shared" ref="F5:F18" si="1">G5+H5</f>
        <v>10</v>
      </c>
      <c r="G5" s="27">
        <v>10</v>
      </c>
      <c r="H5" s="27"/>
      <c r="I5" s="26">
        <f t="shared" ref="I5:I18" si="2">J5+K5</f>
        <v>0</v>
      </c>
      <c r="J5" s="27"/>
      <c r="K5" s="27"/>
      <c r="L5" s="26">
        <f t="shared" ref="L5:L18" si="3">M5+N5</f>
        <v>500</v>
      </c>
      <c r="M5" s="27"/>
      <c r="N5" s="27">
        <v>500</v>
      </c>
      <c r="O5" s="26">
        <f t="shared" ref="O5:O18" si="4">P5+Q5</f>
        <v>0</v>
      </c>
      <c r="P5" s="27"/>
      <c r="Q5" s="27"/>
      <c r="R5" s="26">
        <f t="shared" ref="R5:R18" si="5">S5+T5</f>
        <v>0</v>
      </c>
      <c r="S5" s="27"/>
      <c r="T5" s="27"/>
      <c r="U5" s="26">
        <f t="shared" ref="U5:U18" si="6">V5+W5</f>
        <v>0</v>
      </c>
      <c r="V5" s="27"/>
      <c r="W5" s="27"/>
      <c r="X5" s="26">
        <f t="shared" ref="X5:X18" si="7">Y5+Z5</f>
        <v>0</v>
      </c>
      <c r="Y5" s="27"/>
      <c r="Z5" s="27"/>
      <c r="AA5" s="26">
        <f>AB5+AC5</f>
        <v>22900</v>
      </c>
      <c r="AB5" s="27">
        <f>4900+18000</f>
        <v>22900</v>
      </c>
      <c r="AC5" s="26"/>
      <c r="AD5" s="26">
        <f>AE5+AF5</f>
        <v>101409.79</v>
      </c>
      <c r="AE5" s="25">
        <f t="shared" ref="AE5:AE18" si="8">D5+G5+J5+M5+P5+S5+V5+Y5+AB5</f>
        <v>85093.79</v>
      </c>
      <c r="AF5" s="25">
        <f t="shared" ref="AF5:AF29" si="9">E5+H5+K5+N5+Q5+T5+W5+Z5+AC5</f>
        <v>16316</v>
      </c>
    </row>
    <row r="6" s="1" customFormat="1" ht="29" customHeight="1" spans="1:32">
      <c r="A6" s="12">
        <v>203</v>
      </c>
      <c r="B6" s="13" t="s">
        <v>169</v>
      </c>
      <c r="C6" s="26">
        <f t="shared" si="0"/>
        <v>1008.87</v>
      </c>
      <c r="D6" s="27">
        <v>1008.87</v>
      </c>
      <c r="E6" s="26">
        <v>0</v>
      </c>
      <c r="F6" s="26">
        <f t="shared" si="1"/>
        <v>0</v>
      </c>
      <c r="G6" s="27"/>
      <c r="H6" s="27"/>
      <c r="I6" s="26">
        <f t="shared" si="2"/>
        <v>0</v>
      </c>
      <c r="J6" s="27"/>
      <c r="K6" s="27"/>
      <c r="L6" s="26">
        <f t="shared" si="3"/>
        <v>0</v>
      </c>
      <c r="M6" s="27"/>
      <c r="N6" s="27"/>
      <c r="O6" s="26">
        <f t="shared" si="4"/>
        <v>0</v>
      </c>
      <c r="P6" s="27"/>
      <c r="Q6" s="27"/>
      <c r="R6" s="26">
        <f t="shared" si="5"/>
        <v>0</v>
      </c>
      <c r="S6" s="27"/>
      <c r="T6" s="27"/>
      <c r="U6" s="26">
        <f t="shared" si="6"/>
        <v>0</v>
      </c>
      <c r="V6" s="27"/>
      <c r="W6" s="27"/>
      <c r="X6" s="26">
        <f t="shared" si="7"/>
        <v>0</v>
      </c>
      <c r="Y6" s="27"/>
      <c r="Z6" s="27"/>
      <c r="AA6" s="26">
        <f t="shared" ref="AA6:AA29" si="10">AB6+AC6</f>
        <v>-150</v>
      </c>
      <c r="AB6" s="27">
        <v>-150</v>
      </c>
      <c r="AC6" s="26"/>
      <c r="AD6" s="26">
        <f t="shared" ref="AD6:AD29" si="11">AE6+AF6</f>
        <v>858.87</v>
      </c>
      <c r="AE6" s="25">
        <f t="shared" si="8"/>
        <v>858.87</v>
      </c>
      <c r="AF6" s="25">
        <f t="shared" si="9"/>
        <v>0</v>
      </c>
    </row>
    <row r="7" s="1" customFormat="1" ht="29" customHeight="1" spans="1:32">
      <c r="A7" s="12">
        <v>204</v>
      </c>
      <c r="B7" s="13" t="s">
        <v>170</v>
      </c>
      <c r="C7" s="26">
        <f t="shared" si="0"/>
        <v>38832.88</v>
      </c>
      <c r="D7" s="27">
        <v>34690.88</v>
      </c>
      <c r="E7" s="26">
        <v>4142</v>
      </c>
      <c r="F7" s="26">
        <f t="shared" si="1"/>
        <v>718.04</v>
      </c>
      <c r="G7" s="27">
        <v>718.04</v>
      </c>
      <c r="H7" s="27"/>
      <c r="I7" s="26">
        <f t="shared" si="2"/>
        <v>0</v>
      </c>
      <c r="J7" s="27"/>
      <c r="K7" s="27"/>
      <c r="L7" s="26">
        <f t="shared" si="3"/>
        <v>0</v>
      </c>
      <c r="M7" s="27"/>
      <c r="N7" s="27"/>
      <c r="O7" s="26">
        <f t="shared" si="4"/>
        <v>0</v>
      </c>
      <c r="P7" s="27"/>
      <c r="Q7" s="27"/>
      <c r="R7" s="26">
        <f t="shared" si="5"/>
        <v>0</v>
      </c>
      <c r="S7" s="27"/>
      <c r="T7" s="27"/>
      <c r="U7" s="26">
        <f t="shared" si="6"/>
        <v>0</v>
      </c>
      <c r="V7" s="27"/>
      <c r="W7" s="27"/>
      <c r="X7" s="26">
        <f t="shared" si="7"/>
        <v>0</v>
      </c>
      <c r="Y7" s="27"/>
      <c r="Z7" s="27"/>
      <c r="AA7" s="26">
        <f t="shared" si="10"/>
        <v>-15000</v>
      </c>
      <c r="AB7" s="27">
        <v>-15000</v>
      </c>
      <c r="AC7" s="26"/>
      <c r="AD7" s="26">
        <f t="shared" si="11"/>
        <v>24550.92</v>
      </c>
      <c r="AE7" s="25">
        <f t="shared" si="8"/>
        <v>20408.92</v>
      </c>
      <c r="AF7" s="25">
        <f t="shared" si="9"/>
        <v>4142</v>
      </c>
    </row>
    <row r="8" s="1" customFormat="1" ht="29" customHeight="1" spans="1:32">
      <c r="A8" s="12">
        <v>205</v>
      </c>
      <c r="B8" s="13" t="s">
        <v>171</v>
      </c>
      <c r="C8" s="26">
        <f t="shared" si="0"/>
        <v>213221.61</v>
      </c>
      <c r="D8" s="27">
        <v>147207.61</v>
      </c>
      <c r="E8" s="26">
        <v>66014</v>
      </c>
      <c r="F8" s="26">
        <f t="shared" si="1"/>
        <v>4169.96</v>
      </c>
      <c r="G8" s="27">
        <v>4169.96</v>
      </c>
      <c r="H8" s="27"/>
      <c r="I8" s="26">
        <f t="shared" si="2"/>
        <v>0</v>
      </c>
      <c r="J8" s="27"/>
      <c r="K8" s="27"/>
      <c r="L8" s="26">
        <f t="shared" si="3"/>
        <v>0</v>
      </c>
      <c r="M8" s="27"/>
      <c r="N8" s="27"/>
      <c r="O8" s="26">
        <f t="shared" si="4"/>
        <v>0</v>
      </c>
      <c r="P8" s="27"/>
      <c r="Q8" s="27"/>
      <c r="R8" s="26">
        <f t="shared" si="5"/>
        <v>0</v>
      </c>
      <c r="S8" s="27"/>
      <c r="T8" s="27"/>
      <c r="U8" s="26">
        <f t="shared" si="6"/>
        <v>0</v>
      </c>
      <c r="V8" s="27"/>
      <c r="W8" s="27"/>
      <c r="X8" s="26">
        <f t="shared" si="7"/>
        <v>0</v>
      </c>
      <c r="Y8" s="27"/>
      <c r="Z8" s="27"/>
      <c r="AA8" s="26">
        <f t="shared" si="10"/>
        <v>13600</v>
      </c>
      <c r="AB8" s="27">
        <v>13600</v>
      </c>
      <c r="AC8" s="26"/>
      <c r="AD8" s="26">
        <f t="shared" si="11"/>
        <v>230991.57</v>
      </c>
      <c r="AE8" s="25">
        <f t="shared" si="8"/>
        <v>164977.57</v>
      </c>
      <c r="AF8" s="25">
        <f t="shared" si="9"/>
        <v>66014</v>
      </c>
    </row>
    <row r="9" s="1" customFormat="1" ht="29" customHeight="1" spans="1:32">
      <c r="A9" s="12">
        <v>206</v>
      </c>
      <c r="B9" s="13" t="s">
        <v>172</v>
      </c>
      <c r="C9" s="26">
        <f t="shared" si="0"/>
        <v>18545.11</v>
      </c>
      <c r="D9" s="27">
        <v>7986.11</v>
      </c>
      <c r="E9" s="26">
        <v>10559</v>
      </c>
      <c r="F9" s="26">
        <f t="shared" si="1"/>
        <v>96</v>
      </c>
      <c r="G9" s="27">
        <v>96</v>
      </c>
      <c r="H9" s="27"/>
      <c r="I9" s="26">
        <f t="shared" si="2"/>
        <v>0</v>
      </c>
      <c r="J9" s="27"/>
      <c r="K9" s="27"/>
      <c r="L9" s="26">
        <f t="shared" si="3"/>
        <v>1000</v>
      </c>
      <c r="M9" s="27"/>
      <c r="N9" s="27">
        <v>1000</v>
      </c>
      <c r="O9" s="26">
        <f t="shared" si="4"/>
        <v>0</v>
      </c>
      <c r="P9" s="27"/>
      <c r="Q9" s="27"/>
      <c r="R9" s="26">
        <f t="shared" si="5"/>
        <v>0</v>
      </c>
      <c r="S9" s="27"/>
      <c r="T9" s="27"/>
      <c r="U9" s="26">
        <f t="shared" si="6"/>
        <v>0</v>
      </c>
      <c r="V9" s="27"/>
      <c r="W9" s="27"/>
      <c r="X9" s="26">
        <f t="shared" si="7"/>
        <v>0</v>
      </c>
      <c r="Y9" s="27"/>
      <c r="Z9" s="27"/>
      <c r="AA9" s="26">
        <f t="shared" si="10"/>
        <v>-6400</v>
      </c>
      <c r="AB9" s="27">
        <v>-6400</v>
      </c>
      <c r="AC9" s="26"/>
      <c r="AD9" s="26">
        <f t="shared" si="11"/>
        <v>13241.11</v>
      </c>
      <c r="AE9" s="25">
        <f t="shared" si="8"/>
        <v>1682.11</v>
      </c>
      <c r="AF9" s="25">
        <f t="shared" si="9"/>
        <v>11559</v>
      </c>
    </row>
    <row r="10" s="1" customFormat="1" ht="34.5" customHeight="1" spans="1:32">
      <c r="A10" s="12">
        <v>207</v>
      </c>
      <c r="B10" s="13" t="s">
        <v>173</v>
      </c>
      <c r="C10" s="26">
        <f t="shared" si="0"/>
        <v>13509.36</v>
      </c>
      <c r="D10" s="27">
        <v>12857.36</v>
      </c>
      <c r="E10" s="26">
        <v>652</v>
      </c>
      <c r="F10" s="26">
        <f t="shared" si="1"/>
        <v>340.46</v>
      </c>
      <c r="G10" s="27">
        <v>340.46</v>
      </c>
      <c r="H10" s="27"/>
      <c r="I10" s="26">
        <f t="shared" si="2"/>
        <v>0</v>
      </c>
      <c r="J10" s="27"/>
      <c r="K10" s="27"/>
      <c r="L10" s="26">
        <f t="shared" si="3"/>
        <v>0</v>
      </c>
      <c r="M10" s="27"/>
      <c r="N10" s="27"/>
      <c r="O10" s="26">
        <f t="shared" si="4"/>
        <v>0</v>
      </c>
      <c r="P10" s="27"/>
      <c r="Q10" s="27"/>
      <c r="R10" s="26">
        <f t="shared" si="5"/>
        <v>0</v>
      </c>
      <c r="S10" s="27"/>
      <c r="T10" s="27"/>
      <c r="U10" s="26">
        <f t="shared" si="6"/>
        <v>0</v>
      </c>
      <c r="V10" s="27"/>
      <c r="W10" s="27"/>
      <c r="X10" s="26">
        <f t="shared" si="7"/>
        <v>0</v>
      </c>
      <c r="Y10" s="27"/>
      <c r="Z10" s="27"/>
      <c r="AA10" s="26">
        <f t="shared" si="10"/>
        <v>-6600</v>
      </c>
      <c r="AB10" s="27">
        <v>-6600</v>
      </c>
      <c r="AC10" s="26"/>
      <c r="AD10" s="26">
        <f t="shared" si="11"/>
        <v>7249.82</v>
      </c>
      <c r="AE10" s="25">
        <f t="shared" si="8"/>
        <v>6597.82</v>
      </c>
      <c r="AF10" s="25">
        <f t="shared" si="9"/>
        <v>652</v>
      </c>
    </row>
    <row r="11" s="1" customFormat="1" ht="34.5" customHeight="1" spans="1:32">
      <c r="A11" s="12">
        <v>208</v>
      </c>
      <c r="B11" s="13" t="s">
        <v>174</v>
      </c>
      <c r="C11" s="26">
        <f t="shared" si="0"/>
        <v>118769.18</v>
      </c>
      <c r="D11" s="27">
        <v>102594.18</v>
      </c>
      <c r="E11" s="26">
        <v>16175</v>
      </c>
      <c r="F11" s="26">
        <f t="shared" si="1"/>
        <v>5861.47</v>
      </c>
      <c r="G11" s="27">
        <v>5861.47</v>
      </c>
      <c r="H11" s="27"/>
      <c r="I11" s="26">
        <f t="shared" si="2"/>
        <v>0</v>
      </c>
      <c r="J11" s="27"/>
      <c r="K11" s="27"/>
      <c r="L11" s="26">
        <f t="shared" si="3"/>
        <v>0</v>
      </c>
      <c r="M11" s="27"/>
      <c r="N11" s="27"/>
      <c r="O11" s="26">
        <f t="shared" si="4"/>
        <v>0</v>
      </c>
      <c r="P11" s="27"/>
      <c r="Q11" s="27"/>
      <c r="R11" s="26">
        <f t="shared" si="5"/>
        <v>0</v>
      </c>
      <c r="S11" s="27"/>
      <c r="T11" s="27"/>
      <c r="U11" s="26">
        <f t="shared" si="6"/>
        <v>0</v>
      </c>
      <c r="V11" s="27"/>
      <c r="W11" s="27"/>
      <c r="X11" s="26">
        <f t="shared" si="7"/>
        <v>0</v>
      </c>
      <c r="Y11" s="27"/>
      <c r="Z11" s="27"/>
      <c r="AA11" s="26">
        <f t="shared" si="10"/>
        <v>2500</v>
      </c>
      <c r="AB11" s="27">
        <v>7000</v>
      </c>
      <c r="AC11" s="26">
        <v>-4500</v>
      </c>
      <c r="AD11" s="26">
        <f t="shared" si="11"/>
        <v>127130.65</v>
      </c>
      <c r="AE11" s="25">
        <f t="shared" si="8"/>
        <v>115455.65</v>
      </c>
      <c r="AF11" s="25">
        <f t="shared" si="9"/>
        <v>11675</v>
      </c>
    </row>
    <row r="12" s="1" customFormat="1" ht="34.5" customHeight="1" spans="1:32">
      <c r="A12" s="12">
        <v>210</v>
      </c>
      <c r="B12" s="13" t="s">
        <v>175</v>
      </c>
      <c r="C12" s="26">
        <f t="shared" si="0"/>
        <v>91865.38</v>
      </c>
      <c r="D12" s="27">
        <v>82920.38</v>
      </c>
      <c r="E12" s="26">
        <v>8945</v>
      </c>
      <c r="F12" s="26">
        <f t="shared" si="1"/>
        <v>2664.76</v>
      </c>
      <c r="G12" s="27">
        <v>2664.76</v>
      </c>
      <c r="H12" s="27"/>
      <c r="I12" s="26">
        <f t="shared" si="2"/>
        <v>17500</v>
      </c>
      <c r="J12" s="27">
        <v>15000</v>
      </c>
      <c r="K12" s="27">
        <v>2500</v>
      </c>
      <c r="L12" s="26">
        <f t="shared" si="3"/>
        <v>2000</v>
      </c>
      <c r="M12" s="27"/>
      <c r="N12" s="27">
        <v>2000</v>
      </c>
      <c r="O12" s="26">
        <f t="shared" si="4"/>
        <v>0</v>
      </c>
      <c r="P12" s="27"/>
      <c r="Q12" s="27"/>
      <c r="R12" s="26">
        <f t="shared" si="5"/>
        <v>0</v>
      </c>
      <c r="S12" s="27"/>
      <c r="T12" s="27"/>
      <c r="U12" s="26">
        <f t="shared" si="6"/>
        <v>0</v>
      </c>
      <c r="V12" s="27"/>
      <c r="W12" s="27"/>
      <c r="X12" s="26">
        <f t="shared" si="7"/>
        <v>0</v>
      </c>
      <c r="Y12" s="27"/>
      <c r="Z12" s="27"/>
      <c r="AA12" s="26">
        <f t="shared" si="10"/>
        <v>-10000</v>
      </c>
      <c r="AB12" s="27">
        <v>-10000</v>
      </c>
      <c r="AC12" s="26"/>
      <c r="AD12" s="26">
        <f t="shared" si="11"/>
        <v>104030.14</v>
      </c>
      <c r="AE12" s="25">
        <f t="shared" si="8"/>
        <v>90585.14</v>
      </c>
      <c r="AF12" s="25">
        <f t="shared" si="9"/>
        <v>13445</v>
      </c>
    </row>
    <row r="13" s="1" customFormat="1" ht="29" customHeight="1" spans="1:32">
      <c r="A13" s="12">
        <v>211</v>
      </c>
      <c r="B13" s="13" t="s">
        <v>176</v>
      </c>
      <c r="C13" s="26">
        <f t="shared" si="0"/>
        <v>16281.72</v>
      </c>
      <c r="D13" s="27">
        <v>12356.72</v>
      </c>
      <c r="E13" s="26">
        <v>3925</v>
      </c>
      <c r="F13" s="26">
        <f t="shared" si="1"/>
        <v>-200</v>
      </c>
      <c r="G13" s="27">
        <v>-200</v>
      </c>
      <c r="H13" s="27"/>
      <c r="I13" s="26">
        <f t="shared" si="2"/>
        <v>0</v>
      </c>
      <c r="J13" s="27"/>
      <c r="K13" s="27"/>
      <c r="L13" s="26">
        <f t="shared" si="3"/>
        <v>0</v>
      </c>
      <c r="M13" s="27"/>
      <c r="N13" s="27"/>
      <c r="O13" s="26">
        <f t="shared" si="4"/>
        <v>0</v>
      </c>
      <c r="P13" s="27"/>
      <c r="Q13" s="27"/>
      <c r="R13" s="26">
        <f t="shared" si="5"/>
        <v>0</v>
      </c>
      <c r="S13" s="27"/>
      <c r="T13" s="27"/>
      <c r="U13" s="26">
        <f t="shared" si="6"/>
        <v>0</v>
      </c>
      <c r="V13" s="27"/>
      <c r="W13" s="27"/>
      <c r="X13" s="26">
        <f t="shared" si="7"/>
        <v>0</v>
      </c>
      <c r="Y13" s="27"/>
      <c r="Z13" s="27"/>
      <c r="AA13" s="26">
        <f t="shared" si="10"/>
        <v>-6000</v>
      </c>
      <c r="AB13" s="27">
        <v>-6000</v>
      </c>
      <c r="AC13" s="26"/>
      <c r="AD13" s="26">
        <f t="shared" si="11"/>
        <v>10081.72</v>
      </c>
      <c r="AE13" s="25">
        <f t="shared" si="8"/>
        <v>6156.72</v>
      </c>
      <c r="AF13" s="25">
        <f t="shared" si="9"/>
        <v>3925</v>
      </c>
    </row>
    <row r="14" s="1" customFormat="1" ht="29" customHeight="1" spans="1:32">
      <c r="A14" s="12">
        <v>212</v>
      </c>
      <c r="B14" s="13" t="s">
        <v>177</v>
      </c>
      <c r="C14" s="26">
        <f t="shared" si="0"/>
        <v>82284.86</v>
      </c>
      <c r="D14" s="27">
        <v>35907.86</v>
      </c>
      <c r="E14" s="26">
        <v>46377</v>
      </c>
      <c r="F14" s="26">
        <f t="shared" si="1"/>
        <v>23147</v>
      </c>
      <c r="G14" s="27">
        <f>25368-11583+80+5000</f>
        <v>18865</v>
      </c>
      <c r="H14" s="27">
        <v>4282</v>
      </c>
      <c r="I14" s="26">
        <f t="shared" si="2"/>
        <v>0</v>
      </c>
      <c r="J14" s="27"/>
      <c r="K14" s="27"/>
      <c r="L14" s="26">
        <f t="shared" si="3"/>
        <v>39652.990434</v>
      </c>
      <c r="M14" s="27">
        <v>35294.990434</v>
      </c>
      <c r="N14" s="27">
        <v>4358</v>
      </c>
      <c r="O14" s="26">
        <f t="shared" si="4"/>
        <v>0</v>
      </c>
      <c r="P14" s="27"/>
      <c r="Q14" s="27"/>
      <c r="R14" s="26">
        <f t="shared" si="5"/>
        <v>7767</v>
      </c>
      <c r="S14" s="27"/>
      <c r="T14" s="27">
        <v>7767</v>
      </c>
      <c r="U14" s="26">
        <f t="shared" si="6"/>
        <v>55918</v>
      </c>
      <c r="V14" s="27">
        <f>22940+32978</f>
        <v>55918</v>
      </c>
      <c r="W14" s="27"/>
      <c r="X14" s="26">
        <f t="shared" si="7"/>
        <v>0</v>
      </c>
      <c r="Y14" s="27"/>
      <c r="Z14" s="27"/>
      <c r="AA14" s="26">
        <f t="shared" si="10"/>
        <v>204066</v>
      </c>
      <c r="AB14" s="27">
        <f>122706+33860+43000</f>
        <v>199566</v>
      </c>
      <c r="AC14" s="26">
        <v>4500</v>
      </c>
      <c r="AD14" s="26">
        <f t="shared" si="11"/>
        <v>412835.850434</v>
      </c>
      <c r="AE14" s="25">
        <f t="shared" si="8"/>
        <v>345551.850434</v>
      </c>
      <c r="AF14" s="25">
        <f t="shared" si="9"/>
        <v>67284</v>
      </c>
    </row>
    <row r="15" s="1" customFormat="1" ht="29" customHeight="1" spans="1:32">
      <c r="A15" s="12">
        <v>213</v>
      </c>
      <c r="B15" s="13" t="s">
        <v>178</v>
      </c>
      <c r="C15" s="26">
        <f t="shared" si="0"/>
        <v>67981.6</v>
      </c>
      <c r="D15" s="27">
        <v>64750.6</v>
      </c>
      <c r="E15" s="26">
        <v>3231</v>
      </c>
      <c r="F15" s="26">
        <f t="shared" si="1"/>
        <v>2573.66</v>
      </c>
      <c r="G15" s="27">
        <v>2573.66</v>
      </c>
      <c r="H15" s="27"/>
      <c r="I15" s="26">
        <f t="shared" si="2"/>
        <v>0</v>
      </c>
      <c r="J15" s="27"/>
      <c r="K15" s="27"/>
      <c r="L15" s="26">
        <f t="shared" si="3"/>
        <v>0</v>
      </c>
      <c r="M15" s="27"/>
      <c r="N15" s="27"/>
      <c r="O15" s="26">
        <f t="shared" si="4"/>
        <v>0</v>
      </c>
      <c r="P15" s="27"/>
      <c r="Q15" s="27"/>
      <c r="R15" s="26">
        <f t="shared" si="5"/>
        <v>0</v>
      </c>
      <c r="S15" s="27"/>
      <c r="T15" s="27"/>
      <c r="U15" s="26">
        <f t="shared" si="6"/>
        <v>0</v>
      </c>
      <c r="V15" s="27"/>
      <c r="W15" s="27"/>
      <c r="X15" s="26">
        <f t="shared" si="7"/>
        <v>0</v>
      </c>
      <c r="Y15" s="27"/>
      <c r="Z15" s="27"/>
      <c r="AA15" s="26">
        <f t="shared" si="10"/>
        <v>-40033</v>
      </c>
      <c r="AB15" s="27">
        <v>-40033</v>
      </c>
      <c r="AC15" s="26"/>
      <c r="AD15" s="26">
        <f t="shared" si="11"/>
        <v>30522.26</v>
      </c>
      <c r="AE15" s="25">
        <f t="shared" si="8"/>
        <v>27291.26</v>
      </c>
      <c r="AF15" s="25">
        <f t="shared" si="9"/>
        <v>3231</v>
      </c>
    </row>
    <row r="16" s="1" customFormat="1" ht="29" customHeight="1" spans="1:32">
      <c r="A16" s="12">
        <v>214</v>
      </c>
      <c r="B16" s="13" t="s">
        <v>179</v>
      </c>
      <c r="C16" s="26">
        <f t="shared" si="0"/>
        <v>13371.66</v>
      </c>
      <c r="D16" s="27">
        <v>11456.66</v>
      </c>
      <c r="E16" s="26">
        <v>1915</v>
      </c>
      <c r="F16" s="26">
        <f t="shared" si="1"/>
        <v>1196.902</v>
      </c>
      <c r="G16" s="27">
        <v>1196.902</v>
      </c>
      <c r="H16" s="27"/>
      <c r="I16" s="26">
        <f t="shared" si="2"/>
        <v>0</v>
      </c>
      <c r="J16" s="27"/>
      <c r="K16" s="27"/>
      <c r="L16" s="26">
        <f t="shared" si="3"/>
        <v>0</v>
      </c>
      <c r="M16" s="27"/>
      <c r="N16" s="27"/>
      <c r="O16" s="26">
        <f t="shared" si="4"/>
        <v>0</v>
      </c>
      <c r="P16" s="27"/>
      <c r="Q16" s="27"/>
      <c r="R16" s="26">
        <f t="shared" si="5"/>
        <v>0</v>
      </c>
      <c r="S16" s="27"/>
      <c r="T16" s="27"/>
      <c r="U16" s="26">
        <f t="shared" si="6"/>
        <v>0</v>
      </c>
      <c r="V16" s="27"/>
      <c r="W16" s="27"/>
      <c r="X16" s="26">
        <f t="shared" si="7"/>
        <v>0</v>
      </c>
      <c r="Y16" s="27"/>
      <c r="Z16" s="27"/>
      <c r="AA16" s="26">
        <f t="shared" si="10"/>
        <v>-7600</v>
      </c>
      <c r="AB16" s="27">
        <v>-7600</v>
      </c>
      <c r="AC16" s="26"/>
      <c r="AD16" s="26">
        <f t="shared" si="11"/>
        <v>6968.562</v>
      </c>
      <c r="AE16" s="25">
        <f t="shared" si="8"/>
        <v>5053.562</v>
      </c>
      <c r="AF16" s="25">
        <f t="shared" si="9"/>
        <v>1915</v>
      </c>
    </row>
    <row r="17" s="1" customFormat="1" ht="34.5" customHeight="1" spans="1:32">
      <c r="A17" s="12">
        <v>215</v>
      </c>
      <c r="B17" s="13" t="s">
        <v>180</v>
      </c>
      <c r="C17" s="26">
        <f t="shared" si="0"/>
        <v>71913.65</v>
      </c>
      <c r="D17" s="27">
        <v>63933.65</v>
      </c>
      <c r="E17" s="26">
        <v>7980</v>
      </c>
      <c r="F17" s="26">
        <f t="shared" si="1"/>
        <v>0</v>
      </c>
      <c r="G17" s="27"/>
      <c r="H17" s="27"/>
      <c r="I17" s="26">
        <f t="shared" si="2"/>
        <v>0</v>
      </c>
      <c r="J17" s="27"/>
      <c r="K17" s="27"/>
      <c r="L17" s="26">
        <f t="shared" si="3"/>
        <v>3000</v>
      </c>
      <c r="M17" s="27"/>
      <c r="N17" s="27">
        <v>3000</v>
      </c>
      <c r="O17" s="26">
        <f t="shared" si="4"/>
        <v>0</v>
      </c>
      <c r="P17" s="27"/>
      <c r="Q17" s="27"/>
      <c r="R17" s="26">
        <f t="shared" si="5"/>
        <v>0</v>
      </c>
      <c r="S17" s="27"/>
      <c r="T17" s="27"/>
      <c r="U17" s="26">
        <f t="shared" si="6"/>
        <v>0</v>
      </c>
      <c r="V17" s="27"/>
      <c r="W17" s="27"/>
      <c r="X17" s="26">
        <f t="shared" si="7"/>
        <v>0</v>
      </c>
      <c r="Y17" s="27"/>
      <c r="Z17" s="27"/>
      <c r="AA17" s="26">
        <f t="shared" si="10"/>
        <v>-63000</v>
      </c>
      <c r="AB17" s="27">
        <v>-63000</v>
      </c>
      <c r="AC17" s="26"/>
      <c r="AD17" s="26">
        <f t="shared" si="11"/>
        <v>11913.65</v>
      </c>
      <c r="AE17" s="25">
        <f t="shared" ref="AE17:AE29" si="12">D17+G17+J17+M17+P17+S17+V17+Y17+AB17</f>
        <v>933.650000000001</v>
      </c>
      <c r="AF17" s="25">
        <f t="shared" si="9"/>
        <v>10980</v>
      </c>
    </row>
    <row r="18" s="1" customFormat="1" ht="27" customHeight="1" spans="1:32">
      <c r="A18" s="12">
        <v>216</v>
      </c>
      <c r="B18" s="13" t="s">
        <v>181</v>
      </c>
      <c r="C18" s="26">
        <f t="shared" si="0"/>
        <v>5571.45</v>
      </c>
      <c r="D18" s="27">
        <v>5571.45</v>
      </c>
      <c r="E18" s="26">
        <v>0</v>
      </c>
      <c r="F18" s="26">
        <f t="shared" si="1"/>
        <v>0</v>
      </c>
      <c r="G18" s="27"/>
      <c r="H18" s="27"/>
      <c r="I18" s="26">
        <f t="shared" si="2"/>
        <v>0</v>
      </c>
      <c r="J18" s="27"/>
      <c r="K18" s="27"/>
      <c r="L18" s="26">
        <f t="shared" si="3"/>
        <v>0</v>
      </c>
      <c r="M18" s="27"/>
      <c r="N18" s="27"/>
      <c r="O18" s="26">
        <f t="shared" si="4"/>
        <v>0</v>
      </c>
      <c r="P18" s="27"/>
      <c r="Q18" s="27"/>
      <c r="R18" s="26">
        <f t="shared" si="5"/>
        <v>0</v>
      </c>
      <c r="S18" s="27"/>
      <c r="T18" s="27"/>
      <c r="U18" s="26">
        <f t="shared" si="6"/>
        <v>0</v>
      </c>
      <c r="V18" s="27"/>
      <c r="W18" s="27"/>
      <c r="X18" s="26">
        <f t="shared" si="7"/>
        <v>0</v>
      </c>
      <c r="Y18" s="27"/>
      <c r="Z18" s="27"/>
      <c r="AA18" s="26">
        <f t="shared" si="10"/>
        <v>10000</v>
      </c>
      <c r="AB18" s="27">
        <v>10000</v>
      </c>
      <c r="AC18" s="26"/>
      <c r="AD18" s="26">
        <f t="shared" si="11"/>
        <v>15571.45</v>
      </c>
      <c r="AE18" s="25">
        <f t="shared" si="12"/>
        <v>15571.45</v>
      </c>
      <c r="AF18" s="25">
        <f t="shared" si="9"/>
        <v>0</v>
      </c>
    </row>
    <row r="19" s="1" customFormat="1" ht="27" customHeight="1" spans="1:32">
      <c r="A19" s="12">
        <v>217</v>
      </c>
      <c r="B19" s="13" t="s">
        <v>182</v>
      </c>
      <c r="C19" s="26">
        <v>0</v>
      </c>
      <c r="D19" s="27"/>
      <c r="E19" s="26">
        <v>0</v>
      </c>
      <c r="F19" s="26">
        <v>0</v>
      </c>
      <c r="G19" s="27"/>
      <c r="H19" s="27"/>
      <c r="I19" s="26">
        <v>0</v>
      </c>
      <c r="J19" s="27"/>
      <c r="K19" s="27"/>
      <c r="L19" s="26">
        <v>0</v>
      </c>
      <c r="M19" s="27"/>
      <c r="N19" s="27"/>
      <c r="O19" s="26">
        <v>0</v>
      </c>
      <c r="P19" s="27"/>
      <c r="Q19" s="27"/>
      <c r="R19" s="26">
        <v>0</v>
      </c>
      <c r="S19" s="27"/>
      <c r="T19" s="27"/>
      <c r="U19" s="26">
        <v>0</v>
      </c>
      <c r="V19" s="27"/>
      <c r="W19" s="27"/>
      <c r="X19" s="26">
        <v>0</v>
      </c>
      <c r="Y19" s="27"/>
      <c r="Z19" s="27"/>
      <c r="AA19" s="26">
        <f t="shared" si="10"/>
        <v>100</v>
      </c>
      <c r="AB19" s="27">
        <v>100</v>
      </c>
      <c r="AC19" s="26"/>
      <c r="AD19" s="26">
        <f t="shared" si="11"/>
        <v>100</v>
      </c>
      <c r="AE19" s="25">
        <f t="shared" si="12"/>
        <v>100</v>
      </c>
      <c r="AF19" s="25">
        <f t="shared" si="9"/>
        <v>0</v>
      </c>
    </row>
    <row r="20" s="1" customFormat="1" ht="27" customHeight="1" spans="1:32">
      <c r="A20" s="12">
        <v>219</v>
      </c>
      <c r="B20" s="13" t="s">
        <v>183</v>
      </c>
      <c r="C20" s="26">
        <f t="shared" ref="C20:C29" si="13">D20+E20</f>
        <v>0</v>
      </c>
      <c r="D20" s="27"/>
      <c r="E20" s="26"/>
      <c r="F20" s="26">
        <f t="shared" ref="F20:F29" si="14">G20+H20</f>
        <v>0</v>
      </c>
      <c r="G20" s="27"/>
      <c r="H20" s="27"/>
      <c r="I20" s="26">
        <f t="shared" ref="I20:I29" si="15">J20+K20</f>
        <v>0</v>
      </c>
      <c r="J20" s="27"/>
      <c r="K20" s="27"/>
      <c r="L20" s="26">
        <f t="shared" ref="L20:L29" si="16">M20+N20</f>
        <v>0</v>
      </c>
      <c r="M20" s="27"/>
      <c r="N20" s="27"/>
      <c r="O20" s="26">
        <f t="shared" ref="O20:O29" si="17">P20+Q20</f>
        <v>0</v>
      </c>
      <c r="P20" s="27"/>
      <c r="Q20" s="27"/>
      <c r="R20" s="26">
        <f t="shared" ref="R20:R29" si="18">S20+T20</f>
        <v>0</v>
      </c>
      <c r="S20" s="27"/>
      <c r="T20" s="27"/>
      <c r="U20" s="26">
        <f t="shared" ref="U20:U29" si="19">V20+W20</f>
        <v>0</v>
      </c>
      <c r="V20" s="27"/>
      <c r="W20" s="27"/>
      <c r="X20" s="26">
        <f t="shared" ref="X20:X29" si="20">Y20+Z20</f>
        <v>0</v>
      </c>
      <c r="Y20" s="27"/>
      <c r="Z20" s="27"/>
      <c r="AA20" s="26">
        <f t="shared" si="10"/>
        <v>0</v>
      </c>
      <c r="AB20" s="27"/>
      <c r="AC20" s="26"/>
      <c r="AD20" s="26">
        <f t="shared" si="11"/>
        <v>0</v>
      </c>
      <c r="AE20" s="25">
        <f t="shared" si="12"/>
        <v>0</v>
      </c>
      <c r="AF20" s="25">
        <f t="shared" si="9"/>
        <v>0</v>
      </c>
    </row>
    <row r="21" s="1" customFormat="1" ht="34.5" customHeight="1" spans="1:32">
      <c r="A21" s="12">
        <v>220</v>
      </c>
      <c r="B21" s="13" t="s">
        <v>184</v>
      </c>
      <c r="C21" s="26">
        <f t="shared" si="13"/>
        <v>14509.95</v>
      </c>
      <c r="D21" s="27">
        <v>9523.95</v>
      </c>
      <c r="E21" s="26">
        <v>4986</v>
      </c>
      <c r="F21" s="26">
        <f t="shared" si="14"/>
        <v>-164.79</v>
      </c>
      <c r="G21" s="27">
        <v>-164.79</v>
      </c>
      <c r="H21" s="27"/>
      <c r="I21" s="26">
        <f t="shared" si="15"/>
        <v>0</v>
      </c>
      <c r="J21" s="27"/>
      <c r="K21" s="27"/>
      <c r="L21" s="26">
        <f t="shared" si="16"/>
        <v>0</v>
      </c>
      <c r="M21" s="27"/>
      <c r="N21" s="27"/>
      <c r="O21" s="26">
        <f t="shared" si="17"/>
        <v>0</v>
      </c>
      <c r="P21" s="27"/>
      <c r="Q21" s="27"/>
      <c r="R21" s="26">
        <f t="shared" si="18"/>
        <v>0</v>
      </c>
      <c r="S21" s="27"/>
      <c r="T21" s="27"/>
      <c r="U21" s="26">
        <f t="shared" si="19"/>
        <v>0</v>
      </c>
      <c r="V21" s="27"/>
      <c r="W21" s="27"/>
      <c r="X21" s="26">
        <f t="shared" si="20"/>
        <v>0</v>
      </c>
      <c r="Y21" s="27"/>
      <c r="Z21" s="27"/>
      <c r="AA21" s="26">
        <f t="shared" si="10"/>
        <v>9000</v>
      </c>
      <c r="AB21" s="27">
        <v>9000</v>
      </c>
      <c r="AC21" s="26"/>
      <c r="AD21" s="26">
        <f t="shared" si="11"/>
        <v>23345.16</v>
      </c>
      <c r="AE21" s="25">
        <f t="shared" si="12"/>
        <v>18359.16</v>
      </c>
      <c r="AF21" s="25">
        <f t="shared" si="9"/>
        <v>4986</v>
      </c>
    </row>
    <row r="22" s="1" customFormat="1" ht="25" customHeight="1" spans="1:32">
      <c r="A22" s="12">
        <v>221</v>
      </c>
      <c r="B22" s="13" t="s">
        <v>185</v>
      </c>
      <c r="C22" s="26">
        <f t="shared" si="13"/>
        <v>11400.69</v>
      </c>
      <c r="D22" s="27">
        <v>9896.68999999999</v>
      </c>
      <c r="E22" s="26">
        <v>1504</v>
      </c>
      <c r="F22" s="26">
        <f t="shared" si="14"/>
        <v>-18249.5</v>
      </c>
      <c r="G22" s="27">
        <v>-18249.5</v>
      </c>
      <c r="H22" s="27"/>
      <c r="I22" s="26">
        <f t="shared" si="15"/>
        <v>0</v>
      </c>
      <c r="J22" s="27"/>
      <c r="K22" s="27"/>
      <c r="L22" s="26">
        <f t="shared" si="16"/>
        <v>300</v>
      </c>
      <c r="M22" s="27"/>
      <c r="N22" s="27">
        <v>300</v>
      </c>
      <c r="O22" s="26">
        <f t="shared" si="17"/>
        <v>0</v>
      </c>
      <c r="P22" s="27"/>
      <c r="Q22" s="27"/>
      <c r="R22" s="26">
        <f t="shared" si="18"/>
        <v>0</v>
      </c>
      <c r="S22" s="27"/>
      <c r="T22" s="27"/>
      <c r="U22" s="26">
        <f t="shared" si="19"/>
        <v>0</v>
      </c>
      <c r="V22" s="27"/>
      <c r="W22" s="27"/>
      <c r="X22" s="26">
        <f t="shared" si="20"/>
        <v>0</v>
      </c>
      <c r="Y22" s="27"/>
      <c r="Z22" s="27"/>
      <c r="AA22" s="26">
        <f t="shared" si="10"/>
        <v>0</v>
      </c>
      <c r="AB22" s="27"/>
      <c r="AC22" s="26"/>
      <c r="AD22" s="26">
        <f t="shared" si="11"/>
        <v>-6548.81000000001</v>
      </c>
      <c r="AE22" s="25">
        <f t="shared" si="12"/>
        <v>-8352.81000000001</v>
      </c>
      <c r="AF22" s="25">
        <f t="shared" si="9"/>
        <v>1804</v>
      </c>
    </row>
    <row r="23" s="1" customFormat="1" ht="27" customHeight="1" spans="1:32">
      <c r="A23" s="12">
        <v>222</v>
      </c>
      <c r="B23" s="13" t="s">
        <v>186</v>
      </c>
      <c r="C23" s="26">
        <f t="shared" si="13"/>
        <v>3195</v>
      </c>
      <c r="D23" s="27">
        <v>2052</v>
      </c>
      <c r="E23" s="26">
        <v>1143</v>
      </c>
      <c r="F23" s="26">
        <f t="shared" si="14"/>
        <v>0</v>
      </c>
      <c r="G23" s="27"/>
      <c r="H23" s="27"/>
      <c r="I23" s="26">
        <f t="shared" si="15"/>
        <v>0</v>
      </c>
      <c r="J23" s="27"/>
      <c r="K23" s="27"/>
      <c r="L23" s="26">
        <f t="shared" si="16"/>
        <v>0</v>
      </c>
      <c r="M23" s="27"/>
      <c r="N23" s="27"/>
      <c r="O23" s="26">
        <f t="shared" si="17"/>
        <v>0</v>
      </c>
      <c r="P23" s="27"/>
      <c r="Q23" s="27"/>
      <c r="R23" s="26">
        <f t="shared" si="18"/>
        <v>0</v>
      </c>
      <c r="S23" s="27"/>
      <c r="T23" s="27"/>
      <c r="U23" s="26">
        <f t="shared" si="19"/>
        <v>0</v>
      </c>
      <c r="V23" s="27"/>
      <c r="W23" s="27"/>
      <c r="X23" s="26">
        <f t="shared" si="20"/>
        <v>0</v>
      </c>
      <c r="Y23" s="27"/>
      <c r="Z23" s="27"/>
      <c r="AA23" s="26">
        <f t="shared" si="10"/>
        <v>-400</v>
      </c>
      <c r="AB23" s="27">
        <v>-400</v>
      </c>
      <c r="AC23" s="27"/>
      <c r="AD23" s="26">
        <f t="shared" si="11"/>
        <v>2795</v>
      </c>
      <c r="AE23" s="25">
        <f t="shared" si="12"/>
        <v>1652</v>
      </c>
      <c r="AF23" s="25">
        <f t="shared" si="9"/>
        <v>1143</v>
      </c>
    </row>
    <row r="24" s="1" customFormat="1" ht="35.1" customHeight="1" spans="1:32">
      <c r="A24" s="12">
        <v>224</v>
      </c>
      <c r="B24" s="13" t="s">
        <v>187</v>
      </c>
      <c r="C24" s="26">
        <f t="shared" si="13"/>
        <v>4610.04</v>
      </c>
      <c r="D24" s="27">
        <v>4610.04</v>
      </c>
      <c r="E24" s="26">
        <v>0</v>
      </c>
      <c r="F24" s="26">
        <f t="shared" si="14"/>
        <v>0</v>
      </c>
      <c r="G24" s="27"/>
      <c r="H24" s="27"/>
      <c r="I24" s="26">
        <f t="shared" si="15"/>
        <v>0</v>
      </c>
      <c r="J24" s="27"/>
      <c r="K24" s="27"/>
      <c r="L24" s="26">
        <f t="shared" si="16"/>
        <v>0</v>
      </c>
      <c r="M24" s="27"/>
      <c r="N24" s="27"/>
      <c r="O24" s="26">
        <f t="shared" si="17"/>
        <v>0</v>
      </c>
      <c r="P24" s="27"/>
      <c r="Q24" s="27"/>
      <c r="R24" s="26">
        <f t="shared" si="18"/>
        <v>0</v>
      </c>
      <c r="S24" s="27"/>
      <c r="T24" s="27"/>
      <c r="U24" s="26">
        <f t="shared" si="19"/>
        <v>0</v>
      </c>
      <c r="V24" s="27"/>
      <c r="W24" s="27"/>
      <c r="X24" s="26">
        <f t="shared" si="20"/>
        <v>0</v>
      </c>
      <c r="Y24" s="27"/>
      <c r="Z24" s="27"/>
      <c r="AA24" s="26">
        <f t="shared" si="10"/>
        <v>0</v>
      </c>
      <c r="AB24" s="27"/>
      <c r="AC24" s="27"/>
      <c r="AD24" s="26">
        <f t="shared" si="11"/>
        <v>4610.04</v>
      </c>
      <c r="AE24" s="25">
        <f t="shared" si="12"/>
        <v>4610.04</v>
      </c>
      <c r="AF24" s="25">
        <f t="shared" si="9"/>
        <v>0</v>
      </c>
    </row>
    <row r="25" s="1" customFormat="1" ht="23" customHeight="1" spans="1:32">
      <c r="A25" s="12">
        <v>227</v>
      </c>
      <c r="B25" s="13" t="s">
        <v>188</v>
      </c>
      <c r="C25" s="26">
        <f t="shared" si="13"/>
        <v>17500</v>
      </c>
      <c r="D25" s="27">
        <v>15000</v>
      </c>
      <c r="E25" s="26">
        <v>2500</v>
      </c>
      <c r="F25" s="26">
        <f t="shared" si="14"/>
        <v>0</v>
      </c>
      <c r="G25" s="27"/>
      <c r="H25" s="27"/>
      <c r="I25" s="26">
        <f t="shared" si="15"/>
        <v>-17500</v>
      </c>
      <c r="J25" s="27">
        <v>-15000</v>
      </c>
      <c r="K25" s="27">
        <v>-2500</v>
      </c>
      <c r="L25" s="26">
        <f t="shared" si="16"/>
        <v>0</v>
      </c>
      <c r="M25" s="27"/>
      <c r="N25" s="27"/>
      <c r="O25" s="26">
        <f t="shared" si="17"/>
        <v>0</v>
      </c>
      <c r="P25" s="27"/>
      <c r="Q25" s="27"/>
      <c r="R25" s="26">
        <f t="shared" si="18"/>
        <v>0</v>
      </c>
      <c r="S25" s="27"/>
      <c r="T25" s="27"/>
      <c r="U25" s="26">
        <f t="shared" si="19"/>
        <v>0</v>
      </c>
      <c r="V25" s="27"/>
      <c r="W25" s="27"/>
      <c r="X25" s="26">
        <f t="shared" si="20"/>
        <v>0</v>
      </c>
      <c r="Y25" s="27"/>
      <c r="Z25" s="27"/>
      <c r="AA25" s="26">
        <f t="shared" si="10"/>
        <v>0</v>
      </c>
      <c r="AB25" s="27"/>
      <c r="AC25" s="27"/>
      <c r="AD25" s="26">
        <f t="shared" si="11"/>
        <v>0</v>
      </c>
      <c r="AE25" s="25">
        <f t="shared" si="12"/>
        <v>0</v>
      </c>
      <c r="AF25" s="25">
        <f t="shared" si="9"/>
        <v>0</v>
      </c>
    </row>
    <row r="26" s="1" customFormat="1" ht="26" customHeight="1" spans="1:32">
      <c r="A26" s="12">
        <v>229</v>
      </c>
      <c r="B26" s="16" t="s">
        <v>189</v>
      </c>
      <c r="C26" s="26">
        <f t="shared" si="13"/>
        <v>144054.2</v>
      </c>
      <c r="D26" s="27">
        <v>144054.2</v>
      </c>
      <c r="E26" s="26"/>
      <c r="F26" s="26">
        <f t="shared" si="14"/>
        <v>0</v>
      </c>
      <c r="G26" s="27"/>
      <c r="H26" s="27"/>
      <c r="I26" s="26">
        <f t="shared" si="15"/>
        <v>0</v>
      </c>
      <c r="J26" s="27"/>
      <c r="K26" s="27"/>
      <c r="L26" s="26">
        <f t="shared" si="16"/>
        <v>239</v>
      </c>
      <c r="M26" s="27"/>
      <c r="N26" s="27">
        <v>239</v>
      </c>
      <c r="O26" s="26">
        <f t="shared" si="17"/>
        <v>0</v>
      </c>
      <c r="P26" s="27"/>
      <c r="Q26" s="27"/>
      <c r="R26" s="26">
        <f t="shared" si="18"/>
        <v>0</v>
      </c>
      <c r="S26" s="27"/>
      <c r="T26" s="27"/>
      <c r="U26" s="26">
        <f t="shared" si="19"/>
        <v>0</v>
      </c>
      <c r="V26" s="27"/>
      <c r="W26" s="27"/>
      <c r="X26" s="26">
        <f t="shared" si="20"/>
        <v>0</v>
      </c>
      <c r="Y26" s="27"/>
      <c r="Z26" s="27"/>
      <c r="AA26" s="26">
        <f t="shared" si="10"/>
        <v>-105706</v>
      </c>
      <c r="AB26" s="27">
        <f>60000-122706-43000</f>
        <v>-105706</v>
      </c>
      <c r="AC26" s="27"/>
      <c r="AD26" s="26">
        <f t="shared" si="11"/>
        <v>38587.2</v>
      </c>
      <c r="AE26" s="25">
        <f t="shared" si="12"/>
        <v>38348.2</v>
      </c>
      <c r="AF26" s="25">
        <f t="shared" si="9"/>
        <v>239</v>
      </c>
    </row>
    <row r="27" s="1" customFormat="1" ht="26" customHeight="1" spans="1:32">
      <c r="A27" s="12">
        <v>232</v>
      </c>
      <c r="B27" s="16" t="s">
        <v>190</v>
      </c>
      <c r="C27" s="26">
        <f t="shared" si="13"/>
        <v>12510</v>
      </c>
      <c r="D27" s="27">
        <v>12510</v>
      </c>
      <c r="E27" s="26"/>
      <c r="F27" s="26">
        <f t="shared" si="14"/>
        <v>0</v>
      </c>
      <c r="G27" s="27"/>
      <c r="H27" s="27"/>
      <c r="I27" s="26">
        <f t="shared" si="15"/>
        <v>0</v>
      </c>
      <c r="J27" s="27"/>
      <c r="K27" s="27"/>
      <c r="L27" s="26">
        <f t="shared" si="16"/>
        <v>0</v>
      </c>
      <c r="M27" s="27"/>
      <c r="N27" s="27"/>
      <c r="O27" s="26">
        <f t="shared" si="17"/>
        <v>0</v>
      </c>
      <c r="P27" s="27"/>
      <c r="Q27" s="27"/>
      <c r="R27" s="26">
        <f t="shared" si="18"/>
        <v>0</v>
      </c>
      <c r="S27" s="27"/>
      <c r="T27" s="27"/>
      <c r="U27" s="26">
        <f t="shared" si="19"/>
        <v>0</v>
      </c>
      <c r="V27" s="27"/>
      <c r="W27" s="27"/>
      <c r="X27" s="26">
        <f t="shared" si="20"/>
        <v>0</v>
      </c>
      <c r="Y27" s="27"/>
      <c r="Z27" s="27"/>
      <c r="AA27" s="26">
        <f t="shared" si="10"/>
        <v>-1136</v>
      </c>
      <c r="AB27" s="27">
        <v>-1136</v>
      </c>
      <c r="AC27" s="27"/>
      <c r="AD27" s="26">
        <f t="shared" si="11"/>
        <v>11374</v>
      </c>
      <c r="AE27" s="25">
        <f t="shared" si="12"/>
        <v>11374</v>
      </c>
      <c r="AF27" s="25">
        <f t="shared" si="9"/>
        <v>0</v>
      </c>
    </row>
    <row r="28" s="1" customFormat="1" ht="26" customHeight="1" spans="1:32">
      <c r="A28" s="17">
        <v>233</v>
      </c>
      <c r="B28" s="13" t="s">
        <v>191</v>
      </c>
      <c r="C28" s="26">
        <f t="shared" si="13"/>
        <v>200</v>
      </c>
      <c r="D28" s="27">
        <v>200</v>
      </c>
      <c r="E28" s="26"/>
      <c r="F28" s="26">
        <f t="shared" si="14"/>
        <v>0</v>
      </c>
      <c r="G28" s="27"/>
      <c r="H28" s="27"/>
      <c r="I28" s="26">
        <f t="shared" si="15"/>
        <v>0</v>
      </c>
      <c r="J28" s="27">
        <v>0</v>
      </c>
      <c r="K28" s="27">
        <v>0</v>
      </c>
      <c r="L28" s="26">
        <f t="shared" si="16"/>
        <v>0</v>
      </c>
      <c r="M28" s="27"/>
      <c r="N28" s="27"/>
      <c r="O28" s="26">
        <f t="shared" si="17"/>
        <v>0</v>
      </c>
      <c r="P28" s="27"/>
      <c r="Q28" s="27"/>
      <c r="R28" s="26">
        <f t="shared" si="18"/>
        <v>0</v>
      </c>
      <c r="S28" s="27"/>
      <c r="T28" s="27"/>
      <c r="U28" s="26">
        <f t="shared" si="19"/>
        <v>0</v>
      </c>
      <c r="V28" s="27"/>
      <c r="W28" s="27"/>
      <c r="X28" s="26">
        <f t="shared" si="20"/>
        <v>0</v>
      </c>
      <c r="Y28" s="27"/>
      <c r="Z28" s="27"/>
      <c r="AA28" s="26">
        <f t="shared" si="10"/>
        <v>-140.9</v>
      </c>
      <c r="AB28" s="27">
        <v>-140.9</v>
      </c>
      <c r="AC28" s="27"/>
      <c r="AD28" s="26">
        <f t="shared" si="11"/>
        <v>59.1</v>
      </c>
      <c r="AE28" s="25">
        <f t="shared" si="12"/>
        <v>59.1</v>
      </c>
      <c r="AF28" s="25">
        <f t="shared" si="9"/>
        <v>0</v>
      </c>
    </row>
    <row r="29" s="1" customFormat="1" ht="34.5" customHeight="1" spans="1:32">
      <c r="A29" s="17"/>
      <c r="B29" s="18" t="s">
        <v>192</v>
      </c>
      <c r="C29" s="27">
        <f>SUM(C5:C28)</f>
        <v>1039137</v>
      </c>
      <c r="D29" s="27">
        <f>SUM(D5:D28)</f>
        <v>843273</v>
      </c>
      <c r="E29" s="27">
        <f>SUM(E5:E27)</f>
        <v>195864</v>
      </c>
      <c r="F29" s="27">
        <f>SUM(F5:F28)</f>
        <v>22163.962</v>
      </c>
      <c r="G29" s="27">
        <f>SUM(G5:G27)</f>
        <v>17881.962</v>
      </c>
      <c r="H29" s="27">
        <f>SUM(H5:H28)</f>
        <v>4282</v>
      </c>
      <c r="I29" s="27">
        <f>SUM(I5:I28)</f>
        <v>0</v>
      </c>
      <c r="J29" s="27">
        <f>SUM(J5:J27)</f>
        <v>0</v>
      </c>
      <c r="K29" s="27">
        <f>SUM(K5:K28)</f>
        <v>0</v>
      </c>
      <c r="L29" s="27">
        <f>SUM(L5:L28)</f>
        <v>46691.990434</v>
      </c>
      <c r="M29" s="27">
        <f>SUM(M5:M27)</f>
        <v>35294.990434</v>
      </c>
      <c r="N29" s="27">
        <f>SUM(N5:N28)</f>
        <v>11397</v>
      </c>
      <c r="O29" s="27">
        <f>SUM(O5:O28)</f>
        <v>0</v>
      </c>
      <c r="P29" s="27">
        <f>SUM(P5:P27)</f>
        <v>0</v>
      </c>
      <c r="Q29" s="27">
        <f>SUM(Q5:Q28)</f>
        <v>0</v>
      </c>
      <c r="R29" s="27">
        <f>SUM(R5:R28)</f>
        <v>7767</v>
      </c>
      <c r="S29" s="27">
        <f>SUM(S5:S27)</f>
        <v>0</v>
      </c>
      <c r="T29" s="27">
        <f>SUM(T5:T28)</f>
        <v>7767</v>
      </c>
      <c r="U29" s="27">
        <f>SUM(U5:U28)</f>
        <v>55918</v>
      </c>
      <c r="V29" s="27">
        <f>SUM(V5:V27)</f>
        <v>55918</v>
      </c>
      <c r="W29" s="27">
        <f>SUM(W5:W27)</f>
        <v>0</v>
      </c>
      <c r="X29" s="27">
        <f>SUM(X5:X28)</f>
        <v>0</v>
      </c>
      <c r="Y29" s="27">
        <f>SUM(Y5:Y27)</f>
        <v>0</v>
      </c>
      <c r="Z29" s="27">
        <f>SUM(Z5:Z27)</f>
        <v>0</v>
      </c>
      <c r="AA29" s="27">
        <f>SUM(AA5:AA28)</f>
        <v>0.0999999999999943</v>
      </c>
      <c r="AB29" s="27">
        <f>SUM(AB5:AB28)</f>
        <v>0.0999999999999943</v>
      </c>
      <c r="AC29" s="27">
        <f>SUM(AC5:AC27)</f>
        <v>0</v>
      </c>
      <c r="AD29" s="27">
        <f>SUM(AD5:AD28)</f>
        <v>1171678.052434</v>
      </c>
      <c r="AE29" s="27">
        <f>SUM(AE5:AE28)</f>
        <v>952368.052434</v>
      </c>
      <c r="AF29" s="27">
        <f>SUM(AF5:AF28)</f>
        <v>219310</v>
      </c>
    </row>
    <row r="30" s="1" customFormat="1" spans="30:32">
      <c r="AD30" s="3"/>
      <c r="AE30" s="3"/>
      <c r="AF30" s="3"/>
    </row>
    <row r="31" s="1" customFormat="1" spans="30:32">
      <c r="AD31" s="2"/>
      <c r="AE31" s="3"/>
      <c r="AF31" s="3"/>
    </row>
    <row r="32" s="1" customFormat="1" spans="30:32">
      <c r="AD32" s="3"/>
      <c r="AE32" s="3"/>
      <c r="AF32" s="3"/>
    </row>
    <row r="33" s="1" customFormat="1" spans="30:32">
      <c r="AD33" s="2"/>
      <c r="AE33" s="3"/>
      <c r="AF33" s="3"/>
    </row>
    <row r="34" spans="30:30">
      <c r="AD34" s="3"/>
    </row>
  </sheetData>
  <mergeCells count="25">
    <mergeCell ref="A1:AF1"/>
    <mergeCell ref="G2:Y2"/>
    <mergeCell ref="AE2:AF2"/>
    <mergeCell ref="D3:E3"/>
    <mergeCell ref="G3:H3"/>
    <mergeCell ref="J3:K3"/>
    <mergeCell ref="M3:N3"/>
    <mergeCell ref="P3:Q3"/>
    <mergeCell ref="S3:T3"/>
    <mergeCell ref="V3:W3"/>
    <mergeCell ref="Y3:Z3"/>
    <mergeCell ref="AB3:AC3"/>
    <mergeCell ref="AE3:AF3"/>
    <mergeCell ref="A3:A4"/>
    <mergeCell ref="B3:B4"/>
    <mergeCell ref="C3:C4"/>
    <mergeCell ref="F3:F4"/>
    <mergeCell ref="I3:I4"/>
    <mergeCell ref="L3:L4"/>
    <mergeCell ref="O3:O4"/>
    <mergeCell ref="R3:R4"/>
    <mergeCell ref="U3:U4"/>
    <mergeCell ref="X3:X4"/>
    <mergeCell ref="AA3:AA4"/>
    <mergeCell ref="AD3:AD4"/>
  </mergeCells>
  <pageMargins left="0.700694444444445" right="0.700694444444445" top="0.751388888888889" bottom="0.751388888888889" header="0.298611111111111" footer="0.298611111111111"/>
  <pageSetup paperSize="9" scale="49" fitToHeight="0" orientation="landscape" horizontalDpi="600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18"/>
  <sheetViews>
    <sheetView showZeros="0" view="pageBreakPreview" zoomScaleNormal="100" workbookViewId="0">
      <pane xSplit="2" ySplit="4" topLeftCell="C5" activePane="bottomRight" state="frozen"/>
      <selection/>
      <selection pane="topRight"/>
      <selection pane="bottomLeft"/>
      <selection pane="bottomRight" activeCell="P6" sqref="P6"/>
    </sheetView>
  </sheetViews>
  <sheetFormatPr defaultColWidth="9" defaultRowHeight="13.5"/>
  <cols>
    <col min="1" max="1" width="7.5" style="1" customWidth="1"/>
    <col min="2" max="2" width="15.875" style="1" customWidth="1"/>
    <col min="3" max="4" width="10.125" style="1" customWidth="1"/>
    <col min="5" max="5" width="8.375" style="1" customWidth="1"/>
    <col min="6" max="6" width="8.625" style="1" customWidth="1"/>
    <col min="7" max="8" width="7" style="1" customWidth="1"/>
    <col min="9" max="9" width="8.375" style="1" customWidth="1"/>
    <col min="10" max="11" width="7.5" style="1" customWidth="1"/>
    <col min="12" max="12" width="11.125" style="1" customWidth="1"/>
    <col min="13" max="13" width="9.5" style="1" customWidth="1"/>
    <col min="14" max="14" width="9.25" style="1" customWidth="1"/>
    <col min="15" max="15" width="5.875" style="1" customWidth="1"/>
    <col min="16" max="17" width="7" style="1" customWidth="1"/>
    <col min="18" max="18" width="5.875" style="1" customWidth="1"/>
    <col min="19" max="20" width="7" style="1" customWidth="1"/>
    <col min="21" max="24" width="8.375" style="1" customWidth="1"/>
    <col min="25" max="25" width="7" style="1" customWidth="1"/>
    <col min="26" max="27" width="8.375" style="1" customWidth="1"/>
    <col min="28" max="29" width="7" style="1" customWidth="1"/>
    <col min="30" max="30" width="11.5" style="2" customWidth="1"/>
    <col min="31" max="31" width="10.125" style="3" customWidth="1"/>
    <col min="32" max="32" width="8.75" style="3" customWidth="1"/>
    <col min="33" max="16384" width="9" style="1"/>
  </cols>
  <sheetData>
    <row r="1" s="1" customFormat="1" ht="27" spans="1:32">
      <c r="A1" s="4" t="s">
        <v>193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="1" customFormat="1" ht="14.25" spans="1:32">
      <c r="A2" s="1" t="s">
        <v>1</v>
      </c>
      <c r="B2" s="5"/>
      <c r="C2" s="6"/>
      <c r="D2" s="6"/>
      <c r="E2" s="6"/>
      <c r="F2" s="7"/>
      <c r="G2" s="8" t="str">
        <f>附表1收入调整表2022!E2</f>
        <v>编制日期：2022年12月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6"/>
      <c r="Y2" s="6"/>
      <c r="Z2" s="6"/>
      <c r="AA2" s="6"/>
      <c r="AB2" s="6"/>
      <c r="AC2" s="6"/>
      <c r="AD2" s="21" t="s">
        <v>3</v>
      </c>
      <c r="AE2" s="21"/>
      <c r="AF2" s="21"/>
    </row>
    <row r="3" s="1" customFormat="1" ht="48" customHeight="1" spans="1:32">
      <c r="A3" s="9" t="s">
        <v>155</v>
      </c>
      <c r="B3" s="9" t="s">
        <v>156</v>
      </c>
      <c r="C3" s="9" t="s">
        <v>157</v>
      </c>
      <c r="D3" s="10" t="s">
        <v>158</v>
      </c>
      <c r="E3" s="10"/>
      <c r="F3" s="9" t="s">
        <v>159</v>
      </c>
      <c r="G3" s="10" t="s">
        <v>158</v>
      </c>
      <c r="H3" s="10"/>
      <c r="I3" s="9" t="s">
        <v>194</v>
      </c>
      <c r="J3" s="10" t="s">
        <v>158</v>
      </c>
      <c r="K3" s="10"/>
      <c r="L3" s="9" t="s">
        <v>161</v>
      </c>
      <c r="M3" s="10" t="s">
        <v>158</v>
      </c>
      <c r="N3" s="10"/>
      <c r="O3" s="19" t="s">
        <v>162</v>
      </c>
      <c r="P3" s="10" t="s">
        <v>158</v>
      </c>
      <c r="Q3" s="10"/>
      <c r="R3" s="19" t="s">
        <v>195</v>
      </c>
      <c r="S3" s="10" t="s">
        <v>158</v>
      </c>
      <c r="T3" s="10"/>
      <c r="U3" s="9" t="s">
        <v>164</v>
      </c>
      <c r="V3" s="10" t="s">
        <v>158</v>
      </c>
      <c r="W3" s="10"/>
      <c r="X3" s="9" t="s">
        <v>166</v>
      </c>
      <c r="Y3" s="10" t="s">
        <v>158</v>
      </c>
      <c r="Z3" s="10"/>
      <c r="AA3" s="9" t="s">
        <v>196</v>
      </c>
      <c r="AB3" s="10" t="s">
        <v>158</v>
      </c>
      <c r="AC3" s="10"/>
      <c r="AD3" s="9" t="s">
        <v>167</v>
      </c>
      <c r="AE3" s="22" t="s">
        <v>158</v>
      </c>
      <c r="AF3" s="22"/>
    </row>
    <row r="4" s="1" customFormat="1" ht="48" customHeight="1" spans="1:32">
      <c r="A4" s="9"/>
      <c r="B4" s="9"/>
      <c r="C4" s="9"/>
      <c r="D4" s="11" t="s">
        <v>10</v>
      </c>
      <c r="E4" s="11" t="s">
        <v>11</v>
      </c>
      <c r="F4" s="9"/>
      <c r="G4" s="11" t="s">
        <v>10</v>
      </c>
      <c r="H4" s="11" t="s">
        <v>11</v>
      </c>
      <c r="I4" s="9"/>
      <c r="J4" s="11" t="s">
        <v>10</v>
      </c>
      <c r="K4" s="11" t="s">
        <v>11</v>
      </c>
      <c r="L4" s="9"/>
      <c r="M4" s="11" t="s">
        <v>10</v>
      </c>
      <c r="N4" s="11" t="s">
        <v>11</v>
      </c>
      <c r="O4" s="20"/>
      <c r="P4" s="11" t="s">
        <v>10</v>
      </c>
      <c r="Q4" s="11" t="s">
        <v>11</v>
      </c>
      <c r="R4" s="20"/>
      <c r="S4" s="11" t="s">
        <v>10</v>
      </c>
      <c r="T4" s="11" t="s">
        <v>11</v>
      </c>
      <c r="U4" s="9"/>
      <c r="V4" s="11" t="s">
        <v>10</v>
      </c>
      <c r="W4" s="11" t="s">
        <v>11</v>
      </c>
      <c r="X4" s="9"/>
      <c r="Y4" s="11" t="s">
        <v>10</v>
      </c>
      <c r="Z4" s="11" t="s">
        <v>11</v>
      </c>
      <c r="AA4" s="9"/>
      <c r="AB4" s="11" t="s">
        <v>10</v>
      </c>
      <c r="AC4" s="11" t="s">
        <v>11</v>
      </c>
      <c r="AD4" s="9"/>
      <c r="AE4" s="23" t="s">
        <v>10</v>
      </c>
      <c r="AF4" s="24" t="s">
        <v>11</v>
      </c>
    </row>
    <row r="5" s="1" customFormat="1" ht="62" customHeight="1" spans="1:32">
      <c r="A5" s="12">
        <v>206</v>
      </c>
      <c r="B5" s="13" t="s">
        <v>172</v>
      </c>
      <c r="C5" s="14">
        <f t="shared" ref="C5:C17" si="0">D5+E5</f>
        <v>0</v>
      </c>
      <c r="D5" s="14"/>
      <c r="E5" s="14"/>
      <c r="F5" s="14">
        <f>G5+H5</f>
        <v>0</v>
      </c>
      <c r="G5" s="14"/>
      <c r="H5" s="14"/>
      <c r="I5" s="14">
        <f t="shared" ref="I5:I16" si="1">J5+K5</f>
        <v>0</v>
      </c>
      <c r="J5" s="14"/>
      <c r="K5" s="14"/>
      <c r="L5" s="14">
        <f t="shared" ref="L5:L16" si="2">M5+N5</f>
        <v>0</v>
      </c>
      <c r="M5" s="14"/>
      <c r="N5" s="14"/>
      <c r="O5" s="14">
        <f t="shared" ref="O5:O16" si="3">P5+Q5</f>
        <v>0</v>
      </c>
      <c r="P5" s="14">
        <v>0</v>
      </c>
      <c r="Q5" s="14">
        <v>0</v>
      </c>
      <c r="R5" s="14">
        <f t="shared" ref="R5:R16" si="4">S5+T5</f>
        <v>0</v>
      </c>
      <c r="S5" s="14">
        <v>0</v>
      </c>
      <c r="T5" s="14">
        <v>0</v>
      </c>
      <c r="U5" s="14">
        <f t="shared" ref="U5:U16" si="5">V5+W5</f>
        <v>0</v>
      </c>
      <c r="V5" s="14">
        <v>0</v>
      </c>
      <c r="W5" s="14">
        <v>0</v>
      </c>
      <c r="X5" s="14">
        <f t="shared" ref="X5:X16" si="6">Y5+Z5</f>
        <v>0</v>
      </c>
      <c r="Y5" s="14">
        <v>0</v>
      </c>
      <c r="Z5" s="14">
        <v>0</v>
      </c>
      <c r="AA5" s="14">
        <f t="shared" ref="AA5:AA16" si="7">AB5+AC5</f>
        <v>0</v>
      </c>
      <c r="AB5" s="14">
        <v>0</v>
      </c>
      <c r="AC5" s="14">
        <v>0</v>
      </c>
      <c r="AD5" s="25">
        <f t="shared" ref="AD5:AD17" si="8">C5+F5+I5+L5+O5+R5+U5+X5-AA5</f>
        <v>0</v>
      </c>
      <c r="AE5" s="25">
        <f t="shared" ref="AE5:AE17" si="9">D5+G5+J5+M5+P5+S5+V5+Y5-AB5</f>
        <v>0</v>
      </c>
      <c r="AF5" s="25">
        <f t="shared" ref="AF5:AF17" si="10">E5+H5+K5+N5+Q5+T5+W5+Z5-AC5</f>
        <v>0</v>
      </c>
    </row>
    <row r="6" s="1" customFormat="1" ht="62" customHeight="1" spans="1:32">
      <c r="A6" s="12">
        <v>207</v>
      </c>
      <c r="B6" s="13" t="s">
        <v>173</v>
      </c>
      <c r="C6" s="14">
        <f t="shared" si="0"/>
        <v>0</v>
      </c>
      <c r="D6" s="14"/>
      <c r="E6" s="14"/>
      <c r="F6" s="14">
        <f t="shared" ref="F6:F16" si="11">G6+H6</f>
        <v>0</v>
      </c>
      <c r="G6" s="14"/>
      <c r="H6" s="14"/>
      <c r="I6" s="14">
        <f t="shared" si="1"/>
        <v>0</v>
      </c>
      <c r="J6" s="14"/>
      <c r="K6" s="14"/>
      <c r="L6" s="14">
        <f t="shared" si="2"/>
        <v>0</v>
      </c>
      <c r="M6" s="14"/>
      <c r="N6" s="14"/>
      <c r="O6" s="14">
        <f t="shared" si="3"/>
        <v>0</v>
      </c>
      <c r="P6" s="14">
        <v>0</v>
      </c>
      <c r="Q6" s="14">
        <v>0</v>
      </c>
      <c r="R6" s="14">
        <f t="shared" si="4"/>
        <v>0</v>
      </c>
      <c r="S6" s="14">
        <v>0</v>
      </c>
      <c r="T6" s="14">
        <v>0</v>
      </c>
      <c r="U6" s="14">
        <f t="shared" si="5"/>
        <v>0</v>
      </c>
      <c r="V6" s="14">
        <v>0</v>
      </c>
      <c r="W6" s="14">
        <v>0</v>
      </c>
      <c r="X6" s="14">
        <f t="shared" si="6"/>
        <v>0</v>
      </c>
      <c r="Y6" s="14">
        <v>0</v>
      </c>
      <c r="Z6" s="14">
        <v>0</v>
      </c>
      <c r="AA6" s="14">
        <f t="shared" si="7"/>
        <v>0</v>
      </c>
      <c r="AB6" s="14">
        <v>0</v>
      </c>
      <c r="AC6" s="14">
        <v>0</v>
      </c>
      <c r="AD6" s="25">
        <f t="shared" si="8"/>
        <v>0</v>
      </c>
      <c r="AE6" s="25">
        <f t="shared" si="9"/>
        <v>0</v>
      </c>
      <c r="AF6" s="25">
        <f t="shared" si="10"/>
        <v>0</v>
      </c>
    </row>
    <row r="7" s="1" customFormat="1" ht="62" customHeight="1" spans="1:32">
      <c r="A7" s="12">
        <v>208</v>
      </c>
      <c r="B7" s="13" t="s">
        <v>197</v>
      </c>
      <c r="C7" s="14">
        <f t="shared" si="0"/>
        <v>0</v>
      </c>
      <c r="D7" s="14"/>
      <c r="E7" s="14"/>
      <c r="F7" s="14">
        <f t="shared" si="11"/>
        <v>0</v>
      </c>
      <c r="G7" s="14"/>
      <c r="H7" s="14"/>
      <c r="I7" s="14">
        <f t="shared" si="1"/>
        <v>0</v>
      </c>
      <c r="J7" s="14"/>
      <c r="K7" s="14"/>
      <c r="L7" s="14">
        <f t="shared" si="2"/>
        <v>0</v>
      </c>
      <c r="M7" s="14"/>
      <c r="N7" s="14"/>
      <c r="O7" s="14">
        <f t="shared" si="3"/>
        <v>0</v>
      </c>
      <c r="P7" s="14">
        <v>0</v>
      </c>
      <c r="Q7" s="14">
        <v>0</v>
      </c>
      <c r="R7" s="14">
        <f t="shared" si="4"/>
        <v>0</v>
      </c>
      <c r="S7" s="14">
        <v>0</v>
      </c>
      <c r="T7" s="14">
        <v>0</v>
      </c>
      <c r="U7" s="14">
        <f t="shared" si="5"/>
        <v>0</v>
      </c>
      <c r="V7" s="14">
        <v>0</v>
      </c>
      <c r="W7" s="14">
        <v>0</v>
      </c>
      <c r="X7" s="14">
        <f t="shared" si="6"/>
        <v>0</v>
      </c>
      <c r="Y7" s="14">
        <v>0</v>
      </c>
      <c r="Z7" s="14">
        <v>0</v>
      </c>
      <c r="AA7" s="14">
        <f t="shared" si="7"/>
        <v>0</v>
      </c>
      <c r="AB7" s="14">
        <v>0</v>
      </c>
      <c r="AC7" s="14">
        <v>0</v>
      </c>
      <c r="AD7" s="25">
        <f t="shared" si="8"/>
        <v>0</v>
      </c>
      <c r="AE7" s="25">
        <f t="shared" si="9"/>
        <v>0</v>
      </c>
      <c r="AF7" s="25">
        <f t="shared" si="10"/>
        <v>0</v>
      </c>
    </row>
    <row r="8" s="1" customFormat="1" ht="62" customHeight="1" spans="1:32">
      <c r="A8" s="12">
        <v>211</v>
      </c>
      <c r="B8" s="13" t="s">
        <v>176</v>
      </c>
      <c r="C8" s="14">
        <f t="shared" si="0"/>
        <v>0</v>
      </c>
      <c r="D8" s="14"/>
      <c r="E8" s="14"/>
      <c r="F8" s="14">
        <f t="shared" si="11"/>
        <v>0</v>
      </c>
      <c r="G8" s="14"/>
      <c r="H8" s="14"/>
      <c r="I8" s="14">
        <f t="shared" si="1"/>
        <v>0</v>
      </c>
      <c r="J8" s="14"/>
      <c r="K8" s="14"/>
      <c r="L8" s="14">
        <f t="shared" si="2"/>
        <v>0</v>
      </c>
      <c r="M8" s="14"/>
      <c r="N8" s="14"/>
      <c r="O8" s="14">
        <f t="shared" si="3"/>
        <v>0</v>
      </c>
      <c r="P8" s="14">
        <v>0</v>
      </c>
      <c r="Q8" s="14">
        <v>0</v>
      </c>
      <c r="R8" s="14">
        <f t="shared" si="4"/>
        <v>0</v>
      </c>
      <c r="S8" s="14">
        <v>0</v>
      </c>
      <c r="T8" s="14">
        <v>0</v>
      </c>
      <c r="U8" s="14">
        <f t="shared" si="5"/>
        <v>0</v>
      </c>
      <c r="V8" s="14">
        <v>0</v>
      </c>
      <c r="W8" s="14">
        <v>0</v>
      </c>
      <c r="X8" s="14">
        <f t="shared" si="6"/>
        <v>0</v>
      </c>
      <c r="Y8" s="14">
        <v>0</v>
      </c>
      <c r="Z8" s="14">
        <v>0</v>
      </c>
      <c r="AA8" s="14">
        <f t="shared" si="7"/>
        <v>0</v>
      </c>
      <c r="AB8" s="14">
        <v>0</v>
      </c>
      <c r="AC8" s="14">
        <v>0</v>
      </c>
      <c r="AD8" s="25">
        <f t="shared" si="8"/>
        <v>0</v>
      </c>
      <c r="AE8" s="25">
        <f t="shared" si="9"/>
        <v>0</v>
      </c>
      <c r="AF8" s="25">
        <f t="shared" si="10"/>
        <v>0</v>
      </c>
    </row>
    <row r="9" s="1" customFormat="1" ht="62" customHeight="1" spans="1:32">
      <c r="A9" s="12">
        <v>212</v>
      </c>
      <c r="B9" s="13" t="s">
        <v>177</v>
      </c>
      <c r="C9" s="14">
        <f t="shared" si="0"/>
        <v>1548987</v>
      </c>
      <c r="D9" s="14">
        <v>1089087</v>
      </c>
      <c r="E9" s="14">
        <v>459900</v>
      </c>
      <c r="F9" s="14">
        <f t="shared" si="11"/>
        <v>0</v>
      </c>
      <c r="G9" s="14"/>
      <c r="H9" s="14"/>
      <c r="I9" s="14">
        <f t="shared" si="1"/>
        <v>-16127</v>
      </c>
      <c r="J9" s="14">
        <f>1831-22958</f>
        <v>-21127</v>
      </c>
      <c r="K9" s="14">
        <v>5000</v>
      </c>
      <c r="L9" s="14">
        <f t="shared" si="2"/>
        <v>-1207086</v>
      </c>
      <c r="M9" s="14">
        <f>-883700</f>
        <v>-883700</v>
      </c>
      <c r="N9" s="14">
        <v>-323386</v>
      </c>
      <c r="O9" s="14">
        <f t="shared" si="3"/>
        <v>0</v>
      </c>
      <c r="P9" s="14">
        <v>0</v>
      </c>
      <c r="Q9" s="14">
        <v>0</v>
      </c>
      <c r="R9" s="14">
        <f t="shared" si="4"/>
        <v>0</v>
      </c>
      <c r="S9" s="14">
        <v>0</v>
      </c>
      <c r="T9" s="14">
        <v>0</v>
      </c>
      <c r="U9" s="14">
        <f t="shared" si="5"/>
        <v>0</v>
      </c>
      <c r="V9" s="14"/>
      <c r="W9" s="14"/>
      <c r="X9" s="14">
        <f t="shared" si="6"/>
        <v>-1723</v>
      </c>
      <c r="Y9" s="14">
        <v>-1723</v>
      </c>
      <c r="Z9" s="14"/>
      <c r="AA9" s="14">
        <f t="shared" si="7"/>
        <v>5000</v>
      </c>
      <c r="AB9" s="14">
        <v>5000</v>
      </c>
      <c r="AC9" s="14">
        <v>0</v>
      </c>
      <c r="AD9" s="25">
        <f t="shared" si="8"/>
        <v>319051</v>
      </c>
      <c r="AE9" s="25">
        <f t="shared" si="9"/>
        <v>177537</v>
      </c>
      <c r="AF9" s="25">
        <f t="shared" si="10"/>
        <v>141514</v>
      </c>
    </row>
    <row r="10" s="1" customFormat="1" ht="62" customHeight="1" spans="1:32">
      <c r="A10" s="12">
        <v>213</v>
      </c>
      <c r="B10" s="13" t="s">
        <v>178</v>
      </c>
      <c r="C10" s="14">
        <f t="shared" si="0"/>
        <v>0</v>
      </c>
      <c r="D10" s="14"/>
      <c r="E10" s="14"/>
      <c r="F10" s="14">
        <f t="shared" si="11"/>
        <v>0</v>
      </c>
      <c r="G10" s="14"/>
      <c r="H10" s="14"/>
      <c r="I10" s="14">
        <f t="shared" si="1"/>
        <v>0</v>
      </c>
      <c r="J10" s="14"/>
      <c r="K10" s="14"/>
      <c r="L10" s="14">
        <f t="shared" si="2"/>
        <v>0</v>
      </c>
      <c r="M10" s="14"/>
      <c r="N10" s="14"/>
      <c r="O10" s="14">
        <f t="shared" si="3"/>
        <v>0</v>
      </c>
      <c r="P10" s="14">
        <v>0</v>
      </c>
      <c r="Q10" s="14">
        <v>0</v>
      </c>
      <c r="R10" s="14">
        <f t="shared" si="4"/>
        <v>0</v>
      </c>
      <c r="S10" s="14">
        <v>0</v>
      </c>
      <c r="T10" s="14">
        <v>0</v>
      </c>
      <c r="U10" s="14">
        <f t="shared" si="5"/>
        <v>0</v>
      </c>
      <c r="V10" s="14">
        <v>0</v>
      </c>
      <c r="W10" s="14">
        <v>0</v>
      </c>
      <c r="X10" s="14">
        <f t="shared" si="6"/>
        <v>0</v>
      </c>
      <c r="Y10" s="14">
        <v>0</v>
      </c>
      <c r="Z10" s="14"/>
      <c r="AA10" s="14">
        <f t="shared" si="7"/>
        <v>0</v>
      </c>
      <c r="AB10" s="14">
        <v>0</v>
      </c>
      <c r="AC10" s="14">
        <v>0</v>
      </c>
      <c r="AD10" s="25">
        <f t="shared" si="8"/>
        <v>0</v>
      </c>
      <c r="AE10" s="25">
        <f t="shared" si="9"/>
        <v>0</v>
      </c>
      <c r="AF10" s="25">
        <f t="shared" si="10"/>
        <v>0</v>
      </c>
    </row>
    <row r="11" s="1" customFormat="1" ht="62" customHeight="1" spans="1:32">
      <c r="A11" s="12">
        <v>214</v>
      </c>
      <c r="B11" s="13" t="s">
        <v>179</v>
      </c>
      <c r="C11" s="14">
        <f t="shared" si="0"/>
        <v>0</v>
      </c>
      <c r="D11" s="14"/>
      <c r="E11" s="14"/>
      <c r="F11" s="14">
        <f t="shared" si="11"/>
        <v>0</v>
      </c>
      <c r="G11" s="14"/>
      <c r="H11" s="14"/>
      <c r="I11" s="14">
        <f t="shared" si="1"/>
        <v>0</v>
      </c>
      <c r="J11" s="14"/>
      <c r="K11" s="14"/>
      <c r="L11" s="14">
        <f t="shared" si="2"/>
        <v>0</v>
      </c>
      <c r="M11" s="14"/>
      <c r="N11" s="14"/>
      <c r="O11" s="14">
        <f t="shared" si="3"/>
        <v>0</v>
      </c>
      <c r="P11" s="14">
        <v>0</v>
      </c>
      <c r="Q11" s="14">
        <v>0</v>
      </c>
      <c r="R11" s="14">
        <f t="shared" si="4"/>
        <v>0</v>
      </c>
      <c r="S11" s="14">
        <v>0</v>
      </c>
      <c r="T11" s="14">
        <v>0</v>
      </c>
      <c r="U11" s="14">
        <f t="shared" si="5"/>
        <v>0</v>
      </c>
      <c r="V11" s="14">
        <v>0</v>
      </c>
      <c r="W11" s="14">
        <v>0</v>
      </c>
      <c r="X11" s="14">
        <f t="shared" si="6"/>
        <v>0</v>
      </c>
      <c r="Y11" s="14">
        <v>0</v>
      </c>
      <c r="Z11" s="14"/>
      <c r="AA11" s="14">
        <f t="shared" si="7"/>
        <v>0</v>
      </c>
      <c r="AB11" s="14">
        <v>0</v>
      </c>
      <c r="AC11" s="14">
        <v>0</v>
      </c>
      <c r="AD11" s="25">
        <f t="shared" si="8"/>
        <v>0</v>
      </c>
      <c r="AE11" s="25">
        <f t="shared" si="9"/>
        <v>0</v>
      </c>
      <c r="AF11" s="25">
        <f t="shared" si="10"/>
        <v>0</v>
      </c>
    </row>
    <row r="12" s="1" customFormat="1" ht="62" customHeight="1" spans="1:32">
      <c r="A12" s="12">
        <v>215</v>
      </c>
      <c r="B12" s="13" t="s">
        <v>198</v>
      </c>
      <c r="C12" s="14">
        <f t="shared" si="0"/>
        <v>0</v>
      </c>
      <c r="D12" s="14"/>
      <c r="E12" s="14"/>
      <c r="F12" s="14">
        <f t="shared" si="11"/>
        <v>0</v>
      </c>
      <c r="G12" s="14"/>
      <c r="H12" s="14"/>
      <c r="I12" s="14">
        <f t="shared" si="1"/>
        <v>0</v>
      </c>
      <c r="J12" s="14"/>
      <c r="K12" s="14"/>
      <c r="L12" s="14">
        <f t="shared" si="2"/>
        <v>0</v>
      </c>
      <c r="M12" s="14"/>
      <c r="N12" s="14"/>
      <c r="O12" s="14">
        <f t="shared" si="3"/>
        <v>0</v>
      </c>
      <c r="P12" s="14">
        <v>0</v>
      </c>
      <c r="Q12" s="14">
        <v>0</v>
      </c>
      <c r="R12" s="14">
        <f t="shared" si="4"/>
        <v>0</v>
      </c>
      <c r="S12" s="14">
        <v>0</v>
      </c>
      <c r="T12" s="14">
        <v>0</v>
      </c>
      <c r="U12" s="14">
        <f t="shared" si="5"/>
        <v>0</v>
      </c>
      <c r="V12" s="14">
        <v>0</v>
      </c>
      <c r="W12" s="14">
        <v>0</v>
      </c>
      <c r="X12" s="14">
        <f t="shared" si="6"/>
        <v>0</v>
      </c>
      <c r="Y12" s="14">
        <v>0</v>
      </c>
      <c r="Z12" s="14"/>
      <c r="AA12" s="14">
        <f t="shared" si="7"/>
        <v>0</v>
      </c>
      <c r="AB12" s="14">
        <v>0</v>
      </c>
      <c r="AC12" s="14">
        <v>0</v>
      </c>
      <c r="AD12" s="25">
        <f t="shared" si="8"/>
        <v>0</v>
      </c>
      <c r="AE12" s="25">
        <f t="shared" si="9"/>
        <v>0</v>
      </c>
      <c r="AF12" s="25">
        <f t="shared" si="10"/>
        <v>0</v>
      </c>
    </row>
    <row r="13" s="1" customFormat="1" ht="62" customHeight="1" spans="1:32">
      <c r="A13" s="12">
        <v>229</v>
      </c>
      <c r="B13" s="15" t="s">
        <v>189</v>
      </c>
      <c r="C13" s="14">
        <f t="shared" si="0"/>
        <v>1000</v>
      </c>
      <c r="D13" s="14">
        <v>1000</v>
      </c>
      <c r="E13" s="14"/>
      <c r="F13" s="14">
        <f t="shared" si="11"/>
        <v>0</v>
      </c>
      <c r="G13" s="14"/>
      <c r="H13" s="14"/>
      <c r="I13" s="14">
        <f t="shared" si="1"/>
        <v>13179</v>
      </c>
      <c r="J13" s="14">
        <v>13179</v>
      </c>
      <c r="K13" s="14"/>
      <c r="L13" s="14">
        <f t="shared" si="2"/>
        <v>400</v>
      </c>
      <c r="M13" s="14">
        <v>400</v>
      </c>
      <c r="N13" s="14"/>
      <c r="O13" s="14">
        <f t="shared" si="3"/>
        <v>0</v>
      </c>
      <c r="P13" s="14">
        <v>0</v>
      </c>
      <c r="Q13" s="14">
        <v>0</v>
      </c>
      <c r="R13" s="14">
        <f t="shared" si="4"/>
        <v>0</v>
      </c>
      <c r="S13" s="14">
        <v>0</v>
      </c>
      <c r="T13" s="14">
        <v>0</v>
      </c>
      <c r="U13" s="14">
        <f t="shared" si="5"/>
        <v>379317</v>
      </c>
      <c r="V13" s="14">
        <v>249764</v>
      </c>
      <c r="W13" s="14">
        <v>129553</v>
      </c>
      <c r="X13" s="14">
        <f t="shared" si="6"/>
        <v>0</v>
      </c>
      <c r="Y13" s="14">
        <v>0</v>
      </c>
      <c r="Z13" s="14"/>
      <c r="AA13" s="14">
        <f t="shared" si="7"/>
        <v>0</v>
      </c>
      <c r="AB13" s="14">
        <v>0</v>
      </c>
      <c r="AC13" s="14">
        <v>0</v>
      </c>
      <c r="AD13" s="25">
        <f t="shared" si="8"/>
        <v>393896</v>
      </c>
      <c r="AE13" s="25">
        <f t="shared" si="9"/>
        <v>264343</v>
      </c>
      <c r="AF13" s="25">
        <f t="shared" si="10"/>
        <v>129553</v>
      </c>
    </row>
    <row r="14" s="1" customFormat="1" ht="62" customHeight="1" spans="1:32">
      <c r="A14" s="12">
        <v>232</v>
      </c>
      <c r="B14" s="16" t="s">
        <v>199</v>
      </c>
      <c r="C14" s="14">
        <f t="shared" si="0"/>
        <v>14400</v>
      </c>
      <c r="D14" s="14">
        <v>9300</v>
      </c>
      <c r="E14" s="14">
        <v>5100</v>
      </c>
      <c r="F14" s="14">
        <f t="shared" si="11"/>
        <v>0</v>
      </c>
      <c r="G14" s="14"/>
      <c r="H14" s="14"/>
      <c r="I14" s="14">
        <f t="shared" si="1"/>
        <v>0</v>
      </c>
      <c r="J14" s="14"/>
      <c r="K14" s="14"/>
      <c r="L14" s="14">
        <f t="shared" si="2"/>
        <v>0</v>
      </c>
      <c r="M14" s="14"/>
      <c r="N14" s="14"/>
      <c r="O14" s="14">
        <f t="shared" si="3"/>
        <v>0</v>
      </c>
      <c r="P14" s="14">
        <v>0</v>
      </c>
      <c r="Q14" s="14">
        <v>0</v>
      </c>
      <c r="R14" s="14">
        <f t="shared" si="4"/>
        <v>0</v>
      </c>
      <c r="S14" s="14">
        <v>0</v>
      </c>
      <c r="T14" s="14">
        <v>0</v>
      </c>
      <c r="U14" s="14">
        <f t="shared" si="5"/>
        <v>0</v>
      </c>
      <c r="V14" s="14">
        <v>0</v>
      </c>
      <c r="W14" s="14">
        <v>0</v>
      </c>
      <c r="X14" s="14">
        <f t="shared" si="6"/>
        <v>1588</v>
      </c>
      <c r="Y14" s="14">
        <v>1588</v>
      </c>
      <c r="Z14" s="14"/>
      <c r="AA14" s="14">
        <f t="shared" si="7"/>
        <v>0</v>
      </c>
      <c r="AB14" s="14">
        <v>0</v>
      </c>
      <c r="AC14" s="14">
        <v>0</v>
      </c>
      <c r="AD14" s="25">
        <f t="shared" si="8"/>
        <v>15988</v>
      </c>
      <c r="AE14" s="25">
        <f t="shared" si="9"/>
        <v>10888</v>
      </c>
      <c r="AF14" s="25">
        <f t="shared" si="10"/>
        <v>5100</v>
      </c>
    </row>
    <row r="15" s="1" customFormat="1" ht="62" customHeight="1" spans="1:32">
      <c r="A15" s="12">
        <v>233</v>
      </c>
      <c r="B15" s="13" t="s">
        <v>200</v>
      </c>
      <c r="C15" s="14">
        <f t="shared" si="0"/>
        <v>200</v>
      </c>
      <c r="D15" s="14">
        <v>200</v>
      </c>
      <c r="E15" s="14"/>
      <c r="F15" s="14">
        <f t="shared" si="11"/>
        <v>0</v>
      </c>
      <c r="G15" s="14"/>
      <c r="H15" s="14"/>
      <c r="I15" s="14">
        <f t="shared" si="1"/>
        <v>-46</v>
      </c>
      <c r="J15" s="14">
        <v>-46</v>
      </c>
      <c r="K15" s="14"/>
      <c r="L15" s="14">
        <f t="shared" si="2"/>
        <v>0</v>
      </c>
      <c r="M15" s="14"/>
      <c r="N15" s="14"/>
      <c r="O15" s="14">
        <f t="shared" si="3"/>
        <v>0</v>
      </c>
      <c r="P15" s="14">
        <v>0</v>
      </c>
      <c r="Q15" s="14">
        <v>0</v>
      </c>
      <c r="R15" s="14">
        <f t="shared" si="4"/>
        <v>0</v>
      </c>
      <c r="S15" s="14">
        <v>0</v>
      </c>
      <c r="T15" s="14">
        <v>0</v>
      </c>
      <c r="U15" s="14">
        <f t="shared" si="5"/>
        <v>0</v>
      </c>
      <c r="V15" s="14">
        <v>0</v>
      </c>
      <c r="W15" s="14">
        <v>0</v>
      </c>
      <c r="X15" s="14">
        <f t="shared" si="6"/>
        <v>135</v>
      </c>
      <c r="Y15" s="14">
        <v>135</v>
      </c>
      <c r="Z15" s="14"/>
      <c r="AA15" s="14">
        <f t="shared" si="7"/>
        <v>0</v>
      </c>
      <c r="AB15" s="14">
        <v>0</v>
      </c>
      <c r="AC15" s="14">
        <v>0</v>
      </c>
      <c r="AD15" s="25">
        <f t="shared" si="8"/>
        <v>289</v>
      </c>
      <c r="AE15" s="25">
        <f t="shared" si="9"/>
        <v>289</v>
      </c>
      <c r="AF15" s="25">
        <f t="shared" si="10"/>
        <v>0</v>
      </c>
    </row>
    <row r="16" s="1" customFormat="1" ht="62" customHeight="1" spans="1:32">
      <c r="A16" s="17"/>
      <c r="B16" s="18" t="s">
        <v>192</v>
      </c>
      <c r="C16" s="14">
        <f t="shared" si="0"/>
        <v>1564587</v>
      </c>
      <c r="D16" s="14">
        <f t="shared" ref="D16:AC16" si="12">SUM(D5:D15)</f>
        <v>1099587</v>
      </c>
      <c r="E16" s="14">
        <f t="shared" si="12"/>
        <v>465000</v>
      </c>
      <c r="F16" s="14">
        <f t="shared" si="11"/>
        <v>0</v>
      </c>
      <c r="G16" s="14">
        <f t="shared" si="12"/>
        <v>0</v>
      </c>
      <c r="H16" s="14">
        <f t="shared" si="12"/>
        <v>0</v>
      </c>
      <c r="I16" s="14">
        <f t="shared" si="12"/>
        <v>-2994</v>
      </c>
      <c r="J16" s="14">
        <f t="shared" si="12"/>
        <v>-7994</v>
      </c>
      <c r="K16" s="14">
        <f t="shared" si="12"/>
        <v>5000</v>
      </c>
      <c r="L16" s="14">
        <f t="shared" si="12"/>
        <v>-1206686</v>
      </c>
      <c r="M16" s="14">
        <f t="shared" si="12"/>
        <v>-883300</v>
      </c>
      <c r="N16" s="14">
        <f t="shared" si="12"/>
        <v>-323386</v>
      </c>
      <c r="O16" s="14">
        <f t="shared" si="12"/>
        <v>0</v>
      </c>
      <c r="P16" s="14">
        <f t="shared" si="12"/>
        <v>0</v>
      </c>
      <c r="Q16" s="14">
        <f t="shared" si="12"/>
        <v>0</v>
      </c>
      <c r="R16" s="14">
        <f t="shared" si="12"/>
        <v>0</v>
      </c>
      <c r="S16" s="14">
        <f t="shared" si="12"/>
        <v>0</v>
      </c>
      <c r="T16" s="14">
        <f t="shared" si="12"/>
        <v>0</v>
      </c>
      <c r="U16" s="14">
        <f t="shared" si="12"/>
        <v>379317</v>
      </c>
      <c r="V16" s="14">
        <f t="shared" si="12"/>
        <v>249764</v>
      </c>
      <c r="W16" s="14">
        <f t="shared" si="12"/>
        <v>129553</v>
      </c>
      <c r="X16" s="14">
        <f t="shared" si="12"/>
        <v>0</v>
      </c>
      <c r="Y16" s="14">
        <f t="shared" si="12"/>
        <v>0</v>
      </c>
      <c r="Z16" s="14">
        <f t="shared" si="12"/>
        <v>0</v>
      </c>
      <c r="AA16" s="14">
        <f t="shared" si="12"/>
        <v>5000</v>
      </c>
      <c r="AB16" s="14">
        <f t="shared" si="12"/>
        <v>5000</v>
      </c>
      <c r="AC16" s="14">
        <f t="shared" si="12"/>
        <v>0</v>
      </c>
      <c r="AD16" s="25">
        <f t="shared" si="8"/>
        <v>729224</v>
      </c>
      <c r="AE16" s="25">
        <f t="shared" si="9"/>
        <v>453057</v>
      </c>
      <c r="AF16" s="25">
        <f t="shared" si="10"/>
        <v>276167</v>
      </c>
    </row>
    <row r="18" spans="30:30">
      <c r="AD18" s="3"/>
    </row>
  </sheetData>
  <mergeCells count="25">
    <mergeCell ref="A1:AF1"/>
    <mergeCell ref="G2:W2"/>
    <mergeCell ref="AD2:AF2"/>
    <mergeCell ref="D3:E3"/>
    <mergeCell ref="G3:H3"/>
    <mergeCell ref="J3:K3"/>
    <mergeCell ref="M3:N3"/>
    <mergeCell ref="P3:Q3"/>
    <mergeCell ref="S3:T3"/>
    <mergeCell ref="V3:W3"/>
    <mergeCell ref="Y3:Z3"/>
    <mergeCell ref="AB3:AC3"/>
    <mergeCell ref="AE3:AF3"/>
    <mergeCell ref="A3:A4"/>
    <mergeCell ref="B3:B4"/>
    <mergeCell ref="C3:C4"/>
    <mergeCell ref="F3:F4"/>
    <mergeCell ref="I3:I4"/>
    <mergeCell ref="L3:L4"/>
    <mergeCell ref="O3:O4"/>
    <mergeCell ref="R3:R4"/>
    <mergeCell ref="U3:U4"/>
    <mergeCell ref="X3:X4"/>
    <mergeCell ref="AA3:AA4"/>
    <mergeCell ref="AD3:AD4"/>
  </mergeCells>
  <pageMargins left="0.700694444444445" right="0.700694444444445" top="0.751388888888889" bottom="0.751388888888889" header="0.298611111111111" footer="0.298611111111111"/>
  <pageSetup paperSize="9" scale="4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附表1收入调整表2022</vt:lpstr>
      <vt:lpstr>附表2财力调整表2022</vt:lpstr>
      <vt:lpstr>附表3公共预算支出调整表</vt:lpstr>
      <vt:lpstr>附表4政府性基金支出调整表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qyh2015</dc:creator>
  <cp:lastModifiedBy>qyh2015</cp:lastModifiedBy>
  <dcterms:created xsi:type="dcterms:W3CDTF">2016-10-31T06:35:00Z</dcterms:created>
  <cp:lastPrinted>2019-11-25T14:45:00Z</cp:lastPrinted>
  <dcterms:modified xsi:type="dcterms:W3CDTF">2023-05-11T13:23:43Z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2052-11.1.0.14036</vt:lpwstr>
  </property>
  <property fmtid="{D5CDD505-2E9C-101B-9397-08002B2CF9AE}" pid="4" name="ICV">
    <vt:lpwstr>8D88E6A03AF34D69B62879CF7B6D7A24</vt:lpwstr>
  </property>
</Properties>
</file>