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tabRatio="659"/>
  </bookViews>
  <sheets>
    <sheet name="公共预算收入" sheetId="1" r:id="rId1"/>
    <sheet name="公共预算支出" sheetId="2" r:id="rId2"/>
    <sheet name="基金收入" sheetId="3" r:id="rId3"/>
    <sheet name="基金支出" sheetId="4" r:id="rId4"/>
    <sheet name="社保基金收支" sheetId="5" r:id="rId5"/>
    <sheet name="三保" sheetId="6" r:id="rId6"/>
    <sheet name="政府经济分类" sheetId="7" r:id="rId7"/>
  </sheets>
  <definedNames>
    <definedName name="_xlnm._FilterDatabase" localSheetId="6" hidden="1">政府经济分类!$A$6:$J$85</definedName>
    <definedName name="_xlnm.Print_Area" localSheetId="1">公共预算支出!$A$1:$G$31</definedName>
    <definedName name="_xlnm.Print_Area" localSheetId="2">基金收入!$A$1:$G$16</definedName>
    <definedName name="_xlnm.Print_Titles" localSheetId="6">政府经济分类!$1:$5</definedName>
    <definedName name="_xlnm.Print_Area" localSheetId="3">基金支出!$A$1:$G$26</definedName>
    <definedName name="_xlnm.Print_Area" localSheetId="0">公共预算收入!$A$1:$G$38</definedName>
    <definedName name="_xlnm.Print_Area" localSheetId="4">社保基金收支!$A$1:$N$8</definedName>
    <definedName name="_xlnm.Print_Titles" localSheetId="5">三保!$1:$5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<sst xmlns="http://schemas.openxmlformats.org/spreadsheetml/2006/main" count="343" uniqueCount="272">
  <si>
    <t>附表1</t>
  </si>
  <si>
    <t>一般公共预算收入2024年执行情况及2025年预算情况表</t>
  </si>
  <si>
    <t>单位：万元</t>
  </si>
  <si>
    <t>项目</t>
  </si>
  <si>
    <t>2024年收入预计数</t>
  </si>
  <si>
    <t>2025年预算数</t>
  </si>
  <si>
    <t>合计</t>
  </si>
  <si>
    <t>闽侯县</t>
  </si>
  <si>
    <t>高新区</t>
  </si>
  <si>
    <t>一般公共预算总收入</t>
  </si>
  <si>
    <t>（一）一般公共预算收入</t>
  </si>
  <si>
    <t>1、税收收入</t>
  </si>
  <si>
    <t xml:space="preserve">   增值税</t>
  </si>
  <si>
    <t xml:space="preserve">   企业所得税</t>
  </si>
  <si>
    <t xml:space="preserve">   个人所得税</t>
  </si>
  <si>
    <t xml:space="preserve">   资源税</t>
  </si>
  <si>
    <t xml:space="preserve">   城市维护建设税</t>
  </si>
  <si>
    <t xml:space="preserve">   房产税</t>
  </si>
  <si>
    <t xml:space="preserve">   印花税</t>
  </si>
  <si>
    <t xml:space="preserve">   城镇土地使用税</t>
  </si>
  <si>
    <t xml:space="preserve">   土地增值税</t>
  </si>
  <si>
    <t xml:space="preserve">   车船税</t>
  </si>
  <si>
    <t xml:space="preserve">   耕地占用税</t>
  </si>
  <si>
    <t xml:space="preserve">   契税</t>
  </si>
  <si>
    <t xml:space="preserve">   环境保护税</t>
  </si>
  <si>
    <t xml:space="preserve">   其他税收收入</t>
  </si>
  <si>
    <t>2、非税收入</t>
  </si>
  <si>
    <t xml:space="preserve">   行政事业性收费收入</t>
  </si>
  <si>
    <t xml:space="preserve">   罚没收入</t>
  </si>
  <si>
    <t xml:space="preserve">   专项收入</t>
  </si>
  <si>
    <t xml:space="preserve">   国有资本经营收入</t>
  </si>
  <si>
    <t xml:space="preserve">   国有资源（资产）有偿使用收入</t>
  </si>
  <si>
    <t xml:space="preserve">   捐赠收入</t>
  </si>
  <si>
    <t xml:space="preserve">   政府住房基金收入</t>
  </si>
  <si>
    <t xml:space="preserve">   其他收入</t>
  </si>
  <si>
    <t>（二）上划中央收入</t>
  </si>
  <si>
    <t xml:space="preserve">   消费税</t>
  </si>
  <si>
    <t xml:space="preserve">   车辆购置税</t>
  </si>
  <si>
    <t>附表2</t>
  </si>
  <si>
    <t>一般公共预算支出2024年执行情况及2025年预算情况表</t>
  </si>
  <si>
    <t>2024年支出预计数</t>
  </si>
  <si>
    <t>一般公共预算支出合计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</si>
  <si>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</si>
  <si>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</si>
  <si>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</si>
  <si>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</si>
  <si>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</si>
  <si>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</si>
  <si>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</si>
  <si>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八、医疗卫生支出</t>
  </si>
  <si>
    <t>九、节能环保支出</t>
  </si>
  <si>
    <t>十、城乡社区支出</t>
  </si>
  <si>
    <t>十一、农林水支出</t>
  </si>
  <si>
    <t>十二、交通运输支出</t>
  </si>
  <si>
    <t>十三、资源勘探电力信息等支出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</si>
  <si>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</si>
  <si>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</si>
  <si>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</si>
  <si>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</si>
  <si>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十八、粮油物资储备管理支出</t>
  </si>
  <si>
    <t>十九、灾害防治及应急管理支出</t>
  </si>
  <si>
    <t>二十、预备费</t>
  </si>
  <si>
    <t>二十一、其他支出</t>
  </si>
  <si>
    <t>二十二、债务付息支出</t>
  </si>
  <si>
    <t>二十三、债务发行费支出</t>
  </si>
  <si>
    <t>说明：2022年预算支出数不含中央省市专项补助支出和政府债券支出。</t>
  </si>
  <si>
    <t>民生支出</t>
  </si>
  <si>
    <t>附表3</t>
  </si>
  <si>
    <t>政府性基金收入2024年执行情况及2025年预算情况表</t>
  </si>
  <si>
    <t>政府性基金收入合计</t>
  </si>
  <si>
    <t>（一）土地基金收入小计</t>
  </si>
  <si>
    <t xml:space="preserve">   国有土地使用权出让收入</t>
  </si>
  <si>
    <t xml:space="preserve">   国有土地基金收益收入</t>
  </si>
  <si>
    <t xml:space="preserve">   农业土地开发资金收入</t>
  </si>
  <si>
    <t>（二）其他基金收入小计</t>
  </si>
  <si>
    <t xml:space="preserve">   城市基础设施配套费收入</t>
  </si>
  <si>
    <t xml:space="preserve">   彩票公益金收入</t>
  </si>
  <si>
    <t xml:space="preserve">   污水处理费收入</t>
  </si>
  <si>
    <t xml:space="preserve">   专项债务对应项目专项收入</t>
  </si>
  <si>
    <t>附表4</t>
  </si>
  <si>
    <t>政府性基金支出2024年执行情况及2025年预算情况表</t>
  </si>
  <si>
    <t>2024年支出快报数</t>
  </si>
  <si>
    <t>政府性基金支出合计</t>
  </si>
  <si>
    <t>一、城乡社区支出</t>
  </si>
  <si>
    <t xml:space="preserve">    国有土地使用权出让收入及对应专项债务收入安排的支出</t>
  </si>
  <si>
    <t xml:space="preserve">    国有土地收益基金及对应专项债务收入安排的支出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</si>
  <si>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</si>
  <si>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</si>
  <si>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污水处理费及对应专项债务收入安排的支出</t>
  </si>
  <si>
    <t>二、其他支出</t>
  </si>
  <si>
    <t xml:space="preserve">    彩票公益金安排的支出</t>
  </si>
  <si>
    <t xml:space="preserve">    其他政府性基金及对应专项债务收入安排的支出</t>
  </si>
  <si>
    <t xml:space="preserve">    超长期特别国债安排的其他支出</t>
  </si>
  <si>
    <t>三、文化旅游体育与传媒支出</t>
  </si>
  <si>
    <t xml:space="preserve">    国家电影事业发展专项资金安排的支出</t>
  </si>
  <si>
    <t>四、农林水支出</t>
  </si>
  <si>
    <t xml:space="preserve">    大中型水库移民后期扶持基金支出</t>
  </si>
  <si>
    <t xml:space="preserve">    小型水库移民扶助基金安排的支出</t>
  </si>
  <si>
    <t>五、债务付息支出</t>
  </si>
  <si>
    <t xml:space="preserve">    地方政府专项债务付息支出</t>
  </si>
  <si>
    <t>六、债务发行费用支出</t>
  </si>
  <si>
    <t xml:space="preserve">    地方政府专项债务发行费用支出</t>
  </si>
  <si>
    <t>附表5</t>
  </si>
  <si>
    <t>2025年社会保险基金预算收支情况表</t>
  </si>
  <si>
    <t>序号</t>
  </si>
  <si>
    <t>上年结余</t>
  </si>
  <si>
    <t>本年收入</t>
  </si>
  <si>
    <t>本年支出</t>
  </si>
  <si>
    <t>累计结余</t>
  </si>
  <si>
    <t>机关事业单位养老保险基金</t>
  </si>
  <si>
    <t>城乡居民社会养老保险基金</t>
  </si>
  <si>
    <t>社会保障基金合计</t>
  </si>
  <si>
    <t>附表6</t>
  </si>
  <si>
    <t>2025年“三保”支出预算汇总表</t>
  </si>
  <si>
    <t>县（市、区）</t>
  </si>
  <si>
    <t>项目代码</t>
  </si>
  <si>
    <t>项目名称</t>
  </si>
  <si>
    <t>金额</t>
  </si>
  <si>
    <t>备注</t>
  </si>
  <si>
    <t>三保支出总计</t>
  </si>
  <si>
    <t>保工资</t>
  </si>
  <si>
    <t>在职人员基本工资</t>
  </si>
  <si>
    <t xml:space="preserve">    公检法司部门</t>
  </si>
  <si>
    <t xml:space="preserve">    其他行政单位</t>
  </si>
  <si>
    <t xml:space="preserve">    事业单位</t>
  </si>
  <si>
    <t>公务员年终一次性奖金</t>
  </si>
  <si>
    <t>公务员规范津贴补贴</t>
  </si>
  <si>
    <t>公务员基础绩效奖</t>
  </si>
  <si>
    <t>事业单位绩效工资</t>
  </si>
  <si>
    <t>在职工资附加性支出</t>
  </si>
  <si>
    <t>岗位津贴</t>
  </si>
  <si>
    <t>离休人员经费</t>
  </si>
  <si>
    <t>保运转</t>
  </si>
  <si>
    <t>行政部门</t>
  </si>
  <si>
    <t>公检法部门</t>
  </si>
  <si>
    <t>其他部门</t>
  </si>
  <si>
    <t>保基本民生</t>
  </si>
  <si>
    <t>学前教育幼儿资助</t>
  </si>
  <si>
    <t>城乡义务教育生均公用经费</t>
  </si>
  <si>
    <t>小学</t>
  </si>
  <si>
    <t>初中</t>
  </si>
  <si>
    <t>义务教育阶段特殊教育学校和随班就读残疾学生生均公用经费</t>
  </si>
  <si>
    <t>义务教育免费提供教科书</t>
  </si>
  <si>
    <t>家庭经济困难学生生活补助</t>
  </si>
  <si>
    <t>普通高中学生资助</t>
  </si>
  <si>
    <t>家庭经济困难学生国家助学金</t>
  </si>
  <si>
    <t>免除家庭经济困难学生学杂费</t>
  </si>
  <si>
    <t>中职教育学生资助</t>
  </si>
  <si>
    <t>农村、涉农专业和家庭经济困难学生免学费</t>
  </si>
  <si>
    <t>农村义务教育学生营养改善计划</t>
  </si>
  <si>
    <t>博物馆、纪念馆免费开放补助和公共美术馆、图书馆、文化馆站免费开放补助</t>
  </si>
  <si>
    <t>困难群众救助</t>
  </si>
  <si>
    <t>最低生活保障</t>
  </si>
  <si>
    <t>特困人员救助供养</t>
  </si>
  <si>
    <t>特殊儿童群体基本生活保障</t>
  </si>
  <si>
    <t>临时救助</t>
  </si>
  <si>
    <t xml:space="preserve">  流浪乞讨人员救助</t>
  </si>
  <si>
    <t>残疾人补贴</t>
  </si>
  <si>
    <t>困难残疾人生活补贴</t>
  </si>
  <si>
    <t>重度残疾人护理补贴</t>
  </si>
  <si>
    <t>城乡居民基本养老保险</t>
  </si>
  <si>
    <t>财政对企业职工养老保险的补助</t>
  </si>
  <si>
    <t>财政对机关事业单位养老保险的补助</t>
  </si>
  <si>
    <t>老年人福利补贴</t>
  </si>
  <si>
    <t>就业见习补贴</t>
  </si>
  <si>
    <t>优抚对象抚恤和生活补助经费</t>
  </si>
  <si>
    <t xml:space="preserve">  义务兵优待金</t>
  </si>
  <si>
    <t xml:space="preserve">  退役安置支出</t>
  </si>
  <si>
    <t>城乡居民基本医疗保险</t>
  </si>
  <si>
    <t>基本公共卫生服务</t>
  </si>
  <si>
    <t>计划生育支出</t>
  </si>
  <si>
    <t>农村部分计划生育家庭奖励扶助</t>
  </si>
  <si>
    <t>全国计划生育特别扶助制度</t>
  </si>
  <si>
    <t xml:space="preserve">    城乡医疗救助</t>
  </si>
  <si>
    <t xml:space="preserve">    村级支出</t>
  </si>
  <si>
    <t xml:space="preserve">    其他基本民生支出</t>
  </si>
  <si>
    <t>三保外刚性支出</t>
  </si>
  <si>
    <t xml:space="preserve">   债务还本付息支出</t>
  </si>
  <si>
    <t xml:space="preserve">   编制外长聘人员支出</t>
  </si>
  <si>
    <t xml:space="preserve">   其他刚性支出</t>
  </si>
  <si>
    <t>附表7</t>
  </si>
  <si>
    <t>2025年政府经济分类表</t>
  </si>
  <si>
    <t>科目编码</t>
  </si>
  <si>
    <t>科目名称</t>
  </si>
  <si>
    <t>其中：基本支出</t>
  </si>
  <si>
    <t>一般公共预算支出</t>
  </si>
  <si>
    <t>机关工资福利支出</t>
  </si>
  <si>
    <t>[50101]工资奖金津补贴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</si>
  <si>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</si>
  <si>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</si>
  <si>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</si>
  <si>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</si>
  <si>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</si>
  <si>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>[50201]办公经费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</si>
  <si>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</si>
  <si>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</si>
  <si>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</si>
  <si>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</si>
  <si>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</si>
  <si>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</si>
  <si>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</si>
  <si>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</si>
  <si>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</si>
  <si>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</si>
  <si>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</si>
  <si>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>[50302]基础设施建设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</si>
  <si>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</si>
  <si>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</si>
  <si>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</si>
  <si>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</si>
  <si>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</si>
  <si>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</si>
  <si>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</si>
  <si>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</si>
  <si>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[50602]资本性支出（基本建设）</t>
  </si>
  <si>
    <t>[50701]费用补贴</t>
  </si>
  <si>
    <t>[50702]利息补贴</t>
  </si>
  <si>
    <t>[50799]其他对企业补助</t>
  </si>
  <si>
    <t>[50803]资本金注入</t>
  </si>
  <si>
    <t>[50901]社会福利和救助</t>
  </si>
  <si>
    <t>[50902]助学金</t>
  </si>
  <si>
    <t>对事业单位经常性补助</t>
  </si>
  <si>
    <t>[50905]离退休费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</si>
  <si>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</si>
  <si>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</si>
  <si>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</si>
  <si>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</si>
  <si>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>[51102]国外债务付息</t>
  </si>
  <si>
    <t xml:space="preserve">  资本性支出(一)</t>
  </si>
  <si>
    <t xml:space="preserve">  资本性支出(二)</t>
  </si>
  <si>
    <t>对企业补助</t>
  </si>
  <si>
    <t>[59908]对民间非营利组织和群众性自治组织补贴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</si>
  <si>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</si>
  <si>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</si>
  <si>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</si>
  <si>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</si>
  <si>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</si>
  <si>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对企业资本性支出(二)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</si>
  <si>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</si>
  <si>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</si>
  <si>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</si>
  <si>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</si>
  <si>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</si>
  <si>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</si>
  <si>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</si>
  <si>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</si>
  <si>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</si>
  <si>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</si>
  <si>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</si>
  <si>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</si>
  <si>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</si>
  <si>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</si>
  <si>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</si>
  <si>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</si>
  <si>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债务还本支出</t>
  </si>
  <si>
    <t xml:space="preserve">  国内债务还本</t>
  </si>
  <si>
    <t xml:space="preserve">  国外债务还本</t>
  </si>
  <si>
    <t>转移性支出</t>
  </si>
  <si>
    <t xml:space="preserve">  上下级政府间转移性支出</t>
  </si>
  <si>
    <t xml:space="preserve">  债务转贷</t>
  </si>
  <si>
    <t xml:space="preserve">  调出资金</t>
  </si>
  <si>
    <t xml:space="preserve">  安排预算稳定调节基金</t>
  </si>
  <si>
    <t xml:space="preserve">  补充预算周转金</t>
  </si>
  <si>
    <t xml:space="preserve">  区域间转移性支出</t>
  </si>
  <si>
    <t>预备费及预留</t>
  </si>
  <si>
    <t xml:space="preserve">  预备费</t>
  </si>
  <si>
    <t xml:space="preserve">  预留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</si>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</sst>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  <numFmt numFmtId="178" formatCode="0.00_ "/>
    <numFmt numFmtId="179" formatCode="0_ "/>
  </numFmts>
  <fonts count="47"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2"/>
      <color indexed="8"/>
      <name val="Times New Roman"/>
      <charset val="134"/>
    </font>
    <font>
      <sz val="18"/>
      <name val="方正小标宋简体"/>
      <charset val="134"/>
    </font>
    <font>
      <sz val="12"/>
      <name val="Times New Roman"/>
      <charset val="134"/>
    </font>
    <font>
      <sz val="12"/>
      <name val="黑体"/>
      <charset val="134"/>
    </font>
    <font>
      <sz val="11"/>
      <name val="仿宋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b/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0.5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7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46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5" fillId="0" borderId="3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8" fillId="0" borderId="0" xfId="51" applyFont="1" applyFill="1" applyAlignment="1">
      <alignment horizontal="center" vertical="center"/>
    </xf>
    <xf numFmtId="0" fontId="8" fillId="0" borderId="0" xfId="51" applyFont="1" applyFill="1">
      <alignment vertical="center"/>
    </xf>
    <xf numFmtId="0" fontId="8" fillId="0" borderId="0" xfId="51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9" fillId="0" borderId="0" xfId="51" applyFont="1" applyFill="1" applyBorder="1" applyAlignment="1">
      <alignment horizontal="center" vertical="center"/>
    </xf>
    <xf numFmtId="0" fontId="10" fillId="0" borderId="0" xfId="51" applyFont="1" applyFill="1" applyAlignment="1">
      <alignment horizontal="center" vertical="center"/>
    </xf>
    <xf numFmtId="0" fontId="10" fillId="0" borderId="0" xfId="5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right" vertical="center"/>
    </xf>
    <xf numFmtId="0" fontId="11" fillId="0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11" fillId="0" borderId="9" xfId="51" applyFont="1" applyFill="1" applyBorder="1" applyAlignment="1">
      <alignment horizontal="center" vertical="center" wrapText="1"/>
    </xf>
    <xf numFmtId="0" fontId="11" fillId="0" borderId="12" xfId="51" applyFont="1" applyFill="1" applyBorder="1" applyAlignment="1">
      <alignment horizontal="center" vertical="center" wrapText="1"/>
    </xf>
    <xf numFmtId="0" fontId="11" fillId="0" borderId="10" xfId="51" applyFont="1" applyFill="1" applyBorder="1" applyAlignment="1">
      <alignment horizontal="center" vertical="center" wrapText="1"/>
    </xf>
    <xf numFmtId="0" fontId="11" fillId="0" borderId="8" xfId="51" applyFont="1" applyFill="1" applyBorder="1" applyAlignment="1">
      <alignment horizontal="center" vertical="center"/>
    </xf>
    <xf numFmtId="0" fontId="11" fillId="0" borderId="8" xfId="51" applyFont="1" applyFill="1" applyBorder="1" applyAlignment="1">
      <alignment horizontal="center" vertical="center" wrapText="1"/>
    </xf>
    <xf numFmtId="0" fontId="11" fillId="0" borderId="3" xfId="51" applyFont="1" applyFill="1" applyBorder="1" applyAlignment="1">
      <alignment horizontal="center" vertical="center" wrapText="1"/>
    </xf>
    <xf numFmtId="0" fontId="11" fillId="0" borderId="8" xfId="51" applyFont="1" applyFill="1" applyBorder="1" applyAlignment="1">
      <alignment horizontal="left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10" fillId="0" borderId="3" xfId="51" applyFont="1" applyFill="1" applyBorder="1" applyAlignment="1">
      <alignment horizontal="center" vertical="center"/>
    </xf>
    <xf numFmtId="49" fontId="13" fillId="0" borderId="3" xfId="51" applyNumberFormat="1" applyFont="1" applyFill="1" applyBorder="1" applyAlignment="1">
      <alignment horizontal="left" vertical="center"/>
    </xf>
    <xf numFmtId="0" fontId="11" fillId="0" borderId="3" xfId="51" applyFont="1" applyFill="1" applyBorder="1" applyAlignment="1">
      <alignment horizontal="left" vertical="center" indent="1"/>
    </xf>
    <xf numFmtId="0" fontId="10" fillId="0" borderId="3" xfId="51" applyFont="1" applyFill="1" applyBorder="1" applyAlignment="1">
      <alignment horizontal="left" vertical="center" wrapText="1"/>
    </xf>
    <xf numFmtId="0" fontId="14" fillId="0" borderId="3" xfId="51" applyFont="1" applyFill="1" applyBorder="1" applyAlignment="1">
      <alignment horizontal="left" vertical="center" wrapText="1" indent="2"/>
    </xf>
    <xf numFmtId="0" fontId="14" fillId="0" borderId="3" xfId="51" applyFont="1" applyFill="1" applyBorder="1" applyAlignment="1">
      <alignment horizontal="center" vertical="center" wrapText="1"/>
    </xf>
    <xf numFmtId="0" fontId="11" fillId="0" borderId="3" xfId="51" applyFont="1" applyFill="1" applyBorder="1" applyAlignment="1">
      <alignment horizontal="left" vertical="center" wrapText="1" indent="1"/>
    </xf>
    <xf numFmtId="0" fontId="10" fillId="0" borderId="3" xfId="51" applyFont="1" applyFill="1" applyBorder="1" applyAlignment="1">
      <alignment vertical="center" wrapText="1"/>
    </xf>
    <xf numFmtId="0" fontId="14" fillId="0" borderId="3" xfId="51" applyFont="1" applyFill="1" applyBorder="1" applyAlignment="1">
      <alignment horizontal="left" vertical="center" wrapText="1" indent="3"/>
    </xf>
    <xf numFmtId="0" fontId="14" fillId="0" borderId="3" xfId="51" applyFont="1" applyFill="1" applyBorder="1" applyAlignment="1">
      <alignment horizontal="left" vertical="center" wrapText="1" indent="1"/>
    </xf>
    <xf numFmtId="0" fontId="14" fillId="0" borderId="3" xfId="51" applyFont="1" applyFill="1" applyBorder="1" applyAlignment="1">
      <alignment horizontal="left" vertical="center" wrapText="1"/>
    </xf>
    <xf numFmtId="0" fontId="10" fillId="0" borderId="3" xfId="5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176" fontId="18" fillId="0" borderId="3" xfId="0" applyNumberFormat="1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/>
    </xf>
    <xf numFmtId="0" fontId="22" fillId="0" borderId="3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176" fontId="22" fillId="0" borderId="8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1" fillId="0" borderId="0" xfId="3" applyNumberFormat="1" applyFont="1" applyFill="1">
      <alignment vertical="center"/>
    </xf>
    <xf numFmtId="0" fontId="2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10" fontId="21" fillId="0" borderId="0" xfId="3" applyNumberFormat="1" applyFont="1" applyFill="1">
      <alignment vertical="center"/>
    </xf>
    <xf numFmtId="0" fontId="21" fillId="0" borderId="3" xfId="0" applyFont="1" applyFill="1" applyBorder="1">
      <alignment vertical="center"/>
    </xf>
    <xf numFmtId="177" fontId="21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177" fontId="21" fillId="0" borderId="8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/>
    </xf>
    <xf numFmtId="176" fontId="21" fillId="0" borderId="3" xfId="5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76" fontId="21" fillId="0" borderId="0" xfId="0" applyNumberFormat="1" applyFont="1" applyFill="1">
      <alignment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/>
    </xf>
    <xf numFmtId="177" fontId="21" fillId="0" borderId="3" xfId="0" applyNumberFormat="1" applyFont="1" applyFill="1" applyBorder="1">
      <alignment vertical="center"/>
    </xf>
    <xf numFmtId="177" fontId="21" fillId="0" borderId="13" xfId="0" applyNumberFormat="1" applyFont="1" applyFill="1" applyBorder="1">
      <alignment vertical="center"/>
    </xf>
    <xf numFmtId="176" fontId="21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 wrapText="1"/>
    </xf>
    <xf numFmtId="3" fontId="25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3" fontId="26" fillId="0" borderId="3" xfId="0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/>
    </xf>
    <xf numFmtId="10" fontId="21" fillId="0" borderId="0" xfId="0" applyNumberFormat="1" applyFont="1" applyFill="1">
      <alignment vertical="center"/>
    </xf>
    <xf numFmtId="10" fontId="21" fillId="0" borderId="0" xfId="0" applyNumberFormat="1" applyFont="1" applyFill="1" applyAlignment="1">
      <alignment horizontal="center" vertical="center"/>
    </xf>
    <xf numFmtId="0" fontId="21" fillId="0" borderId="0" xfId="0" applyNumberFormat="1" applyFont="1" applyFill="1">
      <alignment vertical="center"/>
    </xf>
    <xf numFmtId="178" fontId="21" fillId="0" borderId="0" xfId="0" applyNumberFormat="1" applyFont="1" applyFill="1">
      <alignment vertical="center"/>
    </xf>
    <xf numFmtId="176" fontId="27" fillId="0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176" fontId="22" fillId="0" borderId="9" xfId="0" applyNumberFormat="1" applyFont="1" applyFill="1" applyBorder="1" applyAlignment="1">
      <alignment horizontal="center" vertical="center" wrapText="1"/>
    </xf>
    <xf numFmtId="176" fontId="22" fillId="0" borderId="12" xfId="0" applyNumberFormat="1" applyFont="1" applyFill="1" applyBorder="1" applyAlignment="1">
      <alignment horizontal="center" vertical="center" wrapText="1"/>
    </xf>
    <xf numFmtId="176" fontId="22" fillId="0" borderId="10" xfId="0" applyNumberFormat="1" applyFont="1" applyFill="1" applyBorder="1" applyAlignment="1">
      <alignment horizontal="center" vertical="center" wrapText="1"/>
    </xf>
    <xf numFmtId="176" fontId="21" fillId="0" borderId="8" xfId="50" applyNumberFormat="1" applyFont="1" applyFill="1" applyBorder="1" applyAlignment="1">
      <alignment horizontal="center" vertical="center"/>
    </xf>
    <xf numFmtId="176" fontId="21" fillId="0" borderId="8" xfId="0" applyNumberFormat="1" applyFont="1" applyFill="1" applyBorder="1" applyAlignment="1">
      <alignment horizontal="center" vertical="center"/>
    </xf>
    <xf numFmtId="0" fontId="21" fillId="0" borderId="3" xfId="50" applyNumberFormat="1" applyFont="1" applyFill="1" applyBorder="1" applyAlignment="1">
      <alignment horizontal="center" vertical="center"/>
    </xf>
    <xf numFmtId="178" fontId="21" fillId="0" borderId="0" xfId="3" applyNumberFormat="1" applyFont="1" applyFill="1">
      <alignment vertical="center"/>
    </xf>
    <xf numFmtId="176" fontId="21" fillId="0" borderId="3" xfId="50" applyNumberFormat="1" applyFont="1" applyFill="1" applyBorder="1" applyAlignment="1">
      <alignment horizontal="right" vertical="center"/>
    </xf>
    <xf numFmtId="179" fontId="21" fillId="0" borderId="0" xfId="0" applyNumberFormat="1" applyFont="1" applyFill="1">
      <alignment vertical="center"/>
    </xf>
    <xf numFmtId="1" fontId="21" fillId="0" borderId="0" xfId="0" applyNumberFormat="1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9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8"/>
  <sheetViews>
    <sheetView showZeros="0" tabSelected="1" topLeftCell="A2" workbookViewId="0">
      <selection activeCell="Z16" sqref="Z16"/>
    </sheetView>
  </sheetViews>
  <sheetFormatPr defaultColWidth="9" defaultRowHeight="13.5"/>
  <cols>
    <col min="1" max="1" width="24" style="84" customWidth="1"/>
    <col min="2" max="7" width="12" style="86" customWidth="1"/>
    <col min="8" max="8" width="13.75" style="126" hidden="1" customWidth="1"/>
    <col min="9" max="9" width="12.625" style="127" hidden="1" customWidth="1"/>
    <col min="10" max="12" width="12.625" style="84" hidden="1" customWidth="1"/>
    <col min="13" max="13" width="12.7166666666667" style="84" hidden="1" customWidth="1"/>
    <col min="14" max="14" width="12.625" style="84" hidden="1" customWidth="1"/>
    <col min="15" max="15" width="13.75" style="84" hidden="1" customWidth="1"/>
    <col min="16" max="16" width="11.5" style="84" hidden="1" customWidth="1"/>
    <col min="17" max="17" width="13.75" style="84" hidden="1" customWidth="1"/>
    <col min="18" max="18" width="12.625" style="84" hidden="1" customWidth="1"/>
    <col min="19" max="19" width="9" style="84" hidden="1" customWidth="1"/>
    <col min="20" max="20" width="12.625" style="84" hidden="1" customWidth="1"/>
    <col min="21" max="21" width="9" style="84" hidden="1" customWidth="1"/>
    <col min="22" max="22" width="14.375" style="84" customWidth="1"/>
    <col min="23" max="23" width="12.875" style="84" customWidth="1"/>
    <col min="24" max="24" width="18.25" style="84" customWidth="1"/>
    <col min="25" max="26" width="9" style="84"/>
    <col min="27" max="27" width="12.625" style="84"/>
    <col min="28" max="28" width="9" style="84"/>
    <col min="29" max="29" width="13.75" style="84"/>
    <col min="30" max="30" width="9" style="84"/>
    <col min="31" max="31" width="13.75" style="84"/>
    <col min="32" max="16384" width="9" style="84"/>
  </cols>
  <sheetData>
    <row r="1" ht="21" customHeight="1" spans="1:1">
      <c r="A1" s="84" t="s">
        <v>0</v>
      </c>
    </row>
    <row r="2" ht="24" customHeight="1" spans="1:7">
      <c r="A2" s="87" t="s">
        <v>1</v>
      </c>
      <c r="B2" s="88"/>
      <c r="C2" s="88"/>
      <c r="D2" s="128"/>
      <c r="E2" s="88"/>
      <c r="F2" s="88"/>
      <c r="G2" s="128"/>
    </row>
    <row r="3" ht="21" customHeight="1" spans="5:7">
      <c r="E3" s="129"/>
      <c r="G3" s="86" t="s">
        <v>2</v>
      </c>
    </row>
    <row r="4" ht="36" customHeight="1" spans="1:7">
      <c r="A4" s="91" t="s">
        <v>3</v>
      </c>
      <c r="B4" s="130" t="s">
        <v>4</v>
      </c>
      <c r="C4" s="131"/>
      <c r="D4" s="132"/>
      <c r="E4" s="95" t="s">
        <v>5</v>
      </c>
      <c r="F4" s="95"/>
      <c r="G4" s="95"/>
    </row>
    <row r="5" ht="14.25" customHeight="1" spans="1:7">
      <c r="A5" s="91"/>
      <c r="B5" s="97" t="s">
        <v>6</v>
      </c>
      <c r="C5" s="97" t="s">
        <v>7</v>
      </c>
      <c r="D5" s="97" t="s">
        <v>8</v>
      </c>
      <c r="E5" s="97" t="s">
        <v>6</v>
      </c>
      <c r="F5" s="97" t="s">
        <v>7</v>
      </c>
      <c r="G5" s="97" t="s">
        <v>8</v>
      </c>
    </row>
    <row r="6" ht="10" customHeight="1" spans="1:7">
      <c r="A6" s="91"/>
      <c r="B6" s="99"/>
      <c r="C6" s="99"/>
      <c r="D6" s="99"/>
      <c r="E6" s="99"/>
      <c r="F6" s="99"/>
      <c r="G6" s="99"/>
    </row>
    <row r="7" ht="24" customHeight="1" spans="1:18">
      <c r="A7" s="105" t="s">
        <v>9</v>
      </c>
      <c r="B7" s="118">
        <f>C7+D7</f>
        <v>1390066.41</v>
      </c>
      <c r="C7" s="118">
        <f>C8+C33</f>
        <v>987600</v>
      </c>
      <c r="D7" s="118">
        <f t="shared" ref="C7:G7" si="0">D8+D33</f>
        <v>402466.41</v>
      </c>
      <c r="E7" s="118">
        <f>SUM(F7:G7)</f>
        <v>1431767.9023</v>
      </c>
      <c r="F7" s="118">
        <f t="shared" si="0"/>
        <v>1017228</v>
      </c>
      <c r="G7" s="118">
        <f t="shared" si="0"/>
        <v>414539.9023</v>
      </c>
      <c r="H7" s="101" t="e">
        <f>I7-F7</f>
        <v>#REF!</v>
      </c>
      <c r="I7" s="136" t="e">
        <f>C7*#REF!</f>
        <v>#REF!</v>
      </c>
      <c r="J7" s="84">
        <f>F7/C7</f>
        <v>1.03</v>
      </c>
      <c r="K7" s="84">
        <f>G7/D7</f>
        <v>1.0299987576603</v>
      </c>
      <c r="L7" s="84">
        <f>C7*1.05</f>
        <v>1036980</v>
      </c>
      <c r="N7" s="84">
        <f>E7/B7</f>
        <v>1.02999964030495</v>
      </c>
      <c r="O7" s="84">
        <f>B7*1.05-E7</f>
        <v>27801.8282000001</v>
      </c>
      <c r="P7" s="84">
        <f>C7*1.05</f>
        <v>1036980</v>
      </c>
      <c r="Q7" s="84">
        <f>P7-F7</f>
        <v>19752</v>
      </c>
      <c r="R7" s="84">
        <f>F7/C7</f>
        <v>1.03</v>
      </c>
    </row>
    <row r="8" ht="24" customHeight="1" spans="1:20">
      <c r="A8" s="105" t="s">
        <v>10</v>
      </c>
      <c r="B8" s="118">
        <f>B9+B24</f>
        <v>896954.41</v>
      </c>
      <c r="C8" s="118">
        <f>C9+C24</f>
        <v>615988</v>
      </c>
      <c r="D8" s="118">
        <f t="shared" ref="B8:G8" si="1">D9+D24</f>
        <v>280966.41</v>
      </c>
      <c r="E8" s="118">
        <f t="shared" si="1"/>
        <v>923863.4023</v>
      </c>
      <c r="F8" s="118">
        <f t="shared" si="1"/>
        <v>634468</v>
      </c>
      <c r="G8" s="118">
        <f t="shared" si="1"/>
        <v>289395.4023</v>
      </c>
      <c r="H8" s="101" t="e">
        <f>I8-F8</f>
        <v>#REF!</v>
      </c>
      <c r="I8" s="136" t="e">
        <f>C8*#REF!</f>
        <v>#REF!</v>
      </c>
      <c r="J8" s="84">
        <f>F8/C8</f>
        <v>1.03000058442697</v>
      </c>
      <c r="K8" s="84">
        <f>G8/D8</f>
        <v>1.03</v>
      </c>
      <c r="L8" s="84">
        <f>C8*1.05</f>
        <v>646787.4</v>
      </c>
      <c r="M8" s="84">
        <f>G8/D8</f>
        <v>1.03</v>
      </c>
      <c r="N8" s="84">
        <f>E8/B8</f>
        <v>1.03000040135819</v>
      </c>
      <c r="O8" s="84">
        <f>B8*1.05-E8</f>
        <v>17938.7282</v>
      </c>
      <c r="P8" s="84">
        <f>C8*1.05</f>
        <v>646787.4</v>
      </c>
      <c r="Q8" s="84">
        <f>P8-F8</f>
        <v>12319.4</v>
      </c>
      <c r="R8" s="84">
        <f>F8/C8</f>
        <v>1.03000058442697</v>
      </c>
      <c r="T8" s="84">
        <f>G8/D8</f>
        <v>1.03</v>
      </c>
    </row>
    <row r="9" ht="24" customHeight="1" spans="1:9">
      <c r="A9" s="105" t="s">
        <v>11</v>
      </c>
      <c r="B9" s="118">
        <f>C9+D9</f>
        <v>590919.41</v>
      </c>
      <c r="C9" s="110">
        <f>C10+C11+C12+C13+C14+C15+C16+C17+C18+C19+C20+C21+C22+C23</f>
        <v>413303</v>
      </c>
      <c r="D9" s="110">
        <f>D10+SUM(D11:D22)</f>
        <v>177616.41</v>
      </c>
      <c r="E9" s="118">
        <f>SUM(F9:G9)</f>
        <v>667733.4023</v>
      </c>
      <c r="F9" s="110">
        <f>F10+F11+F12+F13+F14+F15+F16+F17+F18+F19+F20+F21+F22</f>
        <v>484468</v>
      </c>
      <c r="G9" s="110">
        <f>G10+SUM(G11:G22)</f>
        <v>183265.4023</v>
      </c>
      <c r="I9" s="127" t="e">
        <f>I7-I8</f>
        <v>#REF!</v>
      </c>
    </row>
    <row r="10" ht="24" customHeight="1" spans="1:12">
      <c r="A10" s="107" t="s">
        <v>12</v>
      </c>
      <c r="B10" s="118">
        <f>C10+D10</f>
        <v>239000</v>
      </c>
      <c r="C10" s="118">
        <v>172500</v>
      </c>
      <c r="D10" s="118">
        <v>66500</v>
      </c>
      <c r="E10" s="118">
        <f>SUM(F10:G10)</f>
        <v>248827.5</v>
      </c>
      <c r="F10" s="118">
        <v>180000</v>
      </c>
      <c r="G10" s="118">
        <v>68827.5</v>
      </c>
      <c r="H10" s="126">
        <v>209755.410074</v>
      </c>
      <c r="I10" s="127">
        <v>211080</v>
      </c>
      <c r="K10" s="84">
        <v>371271.074151</v>
      </c>
      <c r="L10" s="137">
        <v>121780</v>
      </c>
    </row>
    <row r="11" ht="24" customHeight="1" spans="1:12">
      <c r="A11" s="107" t="s">
        <v>13</v>
      </c>
      <c r="B11" s="118">
        <f t="shared" ref="B11:B38" si="2">C11+D11</f>
        <v>77200</v>
      </c>
      <c r="C11" s="118">
        <v>53200</v>
      </c>
      <c r="D11" s="133">
        <v>24000</v>
      </c>
      <c r="E11" s="118">
        <f t="shared" ref="E11:E22" si="3">SUM(F11:G11)</f>
        <v>80888</v>
      </c>
      <c r="F11" s="118">
        <v>56000</v>
      </c>
      <c r="G11" s="118">
        <v>24888</v>
      </c>
      <c r="H11" s="126">
        <v>209537.859525</v>
      </c>
      <c r="I11" s="127">
        <v>80000</v>
      </c>
      <c r="K11" s="84">
        <v>161727.679598</v>
      </c>
      <c r="L11" s="84">
        <v>59027.5</v>
      </c>
    </row>
    <row r="12" ht="24" customHeight="1" spans="1:12">
      <c r="A12" s="107" t="s">
        <v>14</v>
      </c>
      <c r="B12" s="118">
        <f t="shared" si="2"/>
        <v>22920</v>
      </c>
      <c r="C12" s="134">
        <v>10920</v>
      </c>
      <c r="D12" s="133">
        <v>12000</v>
      </c>
      <c r="E12" s="118">
        <f t="shared" si="3"/>
        <v>24180</v>
      </c>
      <c r="F12" s="118">
        <v>12000</v>
      </c>
      <c r="G12" s="118">
        <v>12180</v>
      </c>
      <c r="H12" s="126">
        <v>19416.0281475</v>
      </c>
      <c r="I12" s="127">
        <v>12000</v>
      </c>
      <c r="K12" s="84">
        <v>28822.576982</v>
      </c>
      <c r="L12" s="84">
        <v>28100</v>
      </c>
    </row>
    <row r="13" ht="24" customHeight="1" spans="1:24">
      <c r="A13" s="107" t="s">
        <v>15</v>
      </c>
      <c r="B13" s="118">
        <f t="shared" si="2"/>
        <v>595.68</v>
      </c>
      <c r="C13" s="134">
        <v>580</v>
      </c>
      <c r="D13" s="110">
        <v>15.68</v>
      </c>
      <c r="E13" s="118">
        <f t="shared" si="3"/>
        <v>1016.1504</v>
      </c>
      <c r="F13" s="118">
        <v>1000</v>
      </c>
      <c r="G13" s="133">
        <v>16.1504</v>
      </c>
      <c r="H13" s="126">
        <v>299.885315</v>
      </c>
      <c r="I13" s="127">
        <v>900</v>
      </c>
      <c r="X13" s="138"/>
    </row>
    <row r="14" ht="24" customHeight="1" spans="1:24">
      <c r="A14" s="107" t="s">
        <v>16</v>
      </c>
      <c r="B14" s="118">
        <f t="shared" si="2"/>
        <v>23350</v>
      </c>
      <c r="C14" s="110">
        <v>17650</v>
      </c>
      <c r="D14" s="110">
        <v>5700</v>
      </c>
      <c r="E14" s="118">
        <f t="shared" si="3"/>
        <v>25871</v>
      </c>
      <c r="F14" s="118">
        <v>20000</v>
      </c>
      <c r="G14" s="133">
        <v>5871</v>
      </c>
      <c r="H14" s="126">
        <v>15522.306111</v>
      </c>
      <c r="I14" s="127">
        <v>50000</v>
      </c>
      <c r="X14" s="138"/>
    </row>
    <row r="15" ht="24" customHeight="1" spans="1:24">
      <c r="A15" s="107" t="s">
        <v>17</v>
      </c>
      <c r="B15" s="118">
        <f t="shared" si="2"/>
        <v>45000</v>
      </c>
      <c r="C15" s="110">
        <v>25000</v>
      </c>
      <c r="D15" s="110">
        <v>20000</v>
      </c>
      <c r="E15" s="118">
        <f t="shared" si="3"/>
        <v>50600</v>
      </c>
      <c r="F15" s="118">
        <v>30000</v>
      </c>
      <c r="G15" s="133">
        <v>20600</v>
      </c>
      <c r="H15" s="126">
        <v>23433.63984</v>
      </c>
      <c r="I15" s="127">
        <v>40000</v>
      </c>
      <c r="X15" s="138"/>
    </row>
    <row r="16" ht="24" customHeight="1" spans="1:24">
      <c r="A16" s="107" t="s">
        <v>18</v>
      </c>
      <c r="B16" s="118">
        <f t="shared" si="2"/>
        <v>13200</v>
      </c>
      <c r="C16" s="110">
        <v>7900</v>
      </c>
      <c r="D16" s="110">
        <v>5300</v>
      </c>
      <c r="E16" s="118">
        <f t="shared" si="3"/>
        <v>15459</v>
      </c>
      <c r="F16" s="118">
        <v>10000</v>
      </c>
      <c r="G16" s="133">
        <v>5459</v>
      </c>
      <c r="H16" s="126">
        <v>6073.98471</v>
      </c>
      <c r="I16" s="127">
        <v>30000</v>
      </c>
      <c r="X16" s="138"/>
    </row>
    <row r="17" ht="24" customHeight="1" spans="1:24">
      <c r="A17" s="107" t="s">
        <v>19</v>
      </c>
      <c r="B17" s="118">
        <f t="shared" si="2"/>
        <v>6200</v>
      </c>
      <c r="C17" s="110">
        <v>4500</v>
      </c>
      <c r="D17" s="110">
        <v>1700</v>
      </c>
      <c r="E17" s="118">
        <f t="shared" si="3"/>
        <v>11751</v>
      </c>
      <c r="F17" s="118">
        <v>10000</v>
      </c>
      <c r="G17" s="133">
        <v>1751</v>
      </c>
      <c r="H17" s="126">
        <v>5952.391437</v>
      </c>
      <c r="I17" s="127">
        <v>20000</v>
      </c>
      <c r="X17" s="138"/>
    </row>
    <row r="18" ht="24" customHeight="1" spans="1:24">
      <c r="A18" s="107" t="s">
        <v>20</v>
      </c>
      <c r="B18" s="118">
        <f t="shared" si="2"/>
        <v>120533</v>
      </c>
      <c r="C18" s="110">
        <v>91533</v>
      </c>
      <c r="D18" s="110">
        <v>29000</v>
      </c>
      <c r="E18" s="118">
        <f t="shared" si="3"/>
        <v>153238</v>
      </c>
      <c r="F18" s="118">
        <v>123368</v>
      </c>
      <c r="G18" s="133">
        <v>29870</v>
      </c>
      <c r="H18" s="126">
        <v>31117.57835</v>
      </c>
      <c r="I18" s="127">
        <v>104248</v>
      </c>
      <c r="X18" s="138"/>
    </row>
    <row r="19" ht="24" customHeight="1" spans="1:24">
      <c r="A19" s="107" t="s">
        <v>21</v>
      </c>
      <c r="B19" s="118">
        <f t="shared" si="2"/>
        <v>3351.78</v>
      </c>
      <c r="C19" s="110">
        <v>3340</v>
      </c>
      <c r="D19" s="110">
        <v>11.78</v>
      </c>
      <c r="E19" s="118">
        <f t="shared" si="3"/>
        <v>5012.1334</v>
      </c>
      <c r="F19" s="118">
        <v>5000</v>
      </c>
      <c r="G19" s="133">
        <v>12.1334</v>
      </c>
      <c r="H19" s="126">
        <v>3716.278753</v>
      </c>
      <c r="I19" s="127">
        <v>5000</v>
      </c>
      <c r="X19" s="138"/>
    </row>
    <row r="20" ht="24" customHeight="1" spans="1:24">
      <c r="A20" s="107" t="s">
        <v>22</v>
      </c>
      <c r="B20" s="118">
        <f t="shared" si="2"/>
        <v>1580</v>
      </c>
      <c r="C20" s="110">
        <v>1200</v>
      </c>
      <c r="D20" s="110">
        <v>380</v>
      </c>
      <c r="E20" s="118">
        <f t="shared" si="3"/>
        <v>2391.4</v>
      </c>
      <c r="F20" s="118">
        <v>2000</v>
      </c>
      <c r="G20" s="133">
        <v>391.4</v>
      </c>
      <c r="H20" s="126">
        <v>1623.397371</v>
      </c>
      <c r="I20" s="127">
        <v>5000</v>
      </c>
      <c r="X20" s="138"/>
    </row>
    <row r="21" ht="24" customHeight="1" spans="1:24">
      <c r="A21" s="107" t="s">
        <v>23</v>
      </c>
      <c r="B21" s="118">
        <f t="shared" si="2"/>
        <v>37900</v>
      </c>
      <c r="C21" s="110">
        <v>24900</v>
      </c>
      <c r="D21" s="110">
        <v>13000</v>
      </c>
      <c r="E21" s="118">
        <f t="shared" si="3"/>
        <v>48390</v>
      </c>
      <c r="F21" s="118">
        <v>35000</v>
      </c>
      <c r="G21" s="133">
        <v>13390</v>
      </c>
      <c r="H21" s="126">
        <v>32443.533035</v>
      </c>
      <c r="I21" s="127">
        <v>40000</v>
      </c>
      <c r="X21" s="139"/>
    </row>
    <row r="22" ht="24" customHeight="1" spans="1:24">
      <c r="A22" s="107" t="s">
        <v>24</v>
      </c>
      <c r="B22" s="118">
        <f t="shared" si="2"/>
        <v>88.95</v>
      </c>
      <c r="C22" s="110">
        <v>80</v>
      </c>
      <c r="D22" s="110">
        <v>8.95</v>
      </c>
      <c r="E22" s="118">
        <f t="shared" si="3"/>
        <v>109.2185</v>
      </c>
      <c r="F22" s="118">
        <v>100</v>
      </c>
      <c r="G22" s="134">
        <v>9.2185</v>
      </c>
      <c r="H22" s="126">
        <v>199.735406</v>
      </c>
      <c r="I22" s="127">
        <v>100</v>
      </c>
      <c r="X22" s="138"/>
    </row>
    <row r="23" ht="24" customHeight="1" spans="1:7">
      <c r="A23" s="107" t="s">
        <v>25</v>
      </c>
      <c r="B23" s="118"/>
      <c r="C23" s="134"/>
      <c r="D23" s="134"/>
      <c r="E23" s="118"/>
      <c r="F23" s="118"/>
      <c r="G23" s="134"/>
    </row>
    <row r="24" ht="24" customHeight="1" spans="1:8">
      <c r="A24" s="105" t="s">
        <v>26</v>
      </c>
      <c r="B24" s="118">
        <f t="shared" si="2"/>
        <v>306035</v>
      </c>
      <c r="C24" s="118">
        <f>C25+C26+C27+C28+C29+C30+C31+C32</f>
        <v>202685</v>
      </c>
      <c r="D24" s="118">
        <f t="shared" ref="C24:G24" si="4">D25+D26+D27+D28+D29+D30+D31+D32</f>
        <v>103350</v>
      </c>
      <c r="E24" s="118">
        <f t="shared" ref="E24:E32" si="5">SUM(F24:G24)</f>
        <v>256130</v>
      </c>
      <c r="F24" s="118">
        <f t="shared" si="4"/>
        <v>150000</v>
      </c>
      <c r="G24" s="118">
        <f t="shared" si="4"/>
        <v>106130</v>
      </c>
      <c r="H24" s="126">
        <v>250000</v>
      </c>
    </row>
    <row r="25" ht="24" customHeight="1" spans="1:8">
      <c r="A25" s="107" t="s">
        <v>27</v>
      </c>
      <c r="B25" s="118">
        <f t="shared" si="2"/>
        <v>8500</v>
      </c>
      <c r="C25" s="110">
        <v>6500</v>
      </c>
      <c r="D25" s="110">
        <v>2000</v>
      </c>
      <c r="E25" s="118">
        <f t="shared" si="5"/>
        <v>9060</v>
      </c>
      <c r="F25" s="118">
        <v>7000</v>
      </c>
      <c r="G25" s="133">
        <v>2060</v>
      </c>
      <c r="H25" s="126">
        <v>8333.33333333333</v>
      </c>
    </row>
    <row r="26" ht="24" customHeight="1" spans="1:8">
      <c r="A26" s="107" t="s">
        <v>28</v>
      </c>
      <c r="B26" s="118">
        <f t="shared" si="2"/>
        <v>7300</v>
      </c>
      <c r="C26" s="110">
        <v>7000</v>
      </c>
      <c r="D26" s="110">
        <v>300</v>
      </c>
      <c r="E26" s="118">
        <f t="shared" si="5"/>
        <v>7444</v>
      </c>
      <c r="F26" s="118">
        <v>7000</v>
      </c>
      <c r="G26" s="133">
        <v>444</v>
      </c>
      <c r="H26" s="126">
        <v>8333.33333333333</v>
      </c>
    </row>
    <row r="27" ht="24" customHeight="1" spans="1:8">
      <c r="A27" s="107" t="s">
        <v>29</v>
      </c>
      <c r="B27" s="118">
        <f t="shared" si="2"/>
        <v>64362</v>
      </c>
      <c r="C27" s="110">
        <v>34362</v>
      </c>
      <c r="D27" s="110">
        <v>30000</v>
      </c>
      <c r="E27" s="118">
        <f t="shared" si="5"/>
        <v>51451</v>
      </c>
      <c r="F27" s="118">
        <v>20600</v>
      </c>
      <c r="G27" s="134">
        <v>30851</v>
      </c>
      <c r="H27" s="126">
        <v>83333.3333333333</v>
      </c>
    </row>
    <row r="28" ht="24" customHeight="1" spans="1:8">
      <c r="A28" s="107" t="s">
        <v>30</v>
      </c>
      <c r="B28" s="118">
        <f t="shared" si="2"/>
        <v>22615</v>
      </c>
      <c r="C28" s="110">
        <v>22615</v>
      </c>
      <c r="D28" s="110"/>
      <c r="E28" s="118">
        <f t="shared" si="5"/>
        <v>0</v>
      </c>
      <c r="G28" s="133"/>
      <c r="H28" s="126">
        <v>7500</v>
      </c>
    </row>
    <row r="29" ht="37" customHeight="1" spans="1:8">
      <c r="A29" s="119" t="s">
        <v>31</v>
      </c>
      <c r="B29" s="118">
        <f t="shared" si="2"/>
        <v>203030</v>
      </c>
      <c r="C29" s="110">
        <v>132030</v>
      </c>
      <c r="D29" s="110">
        <v>71000</v>
      </c>
      <c r="E29" s="118">
        <f t="shared" si="5"/>
        <v>188025</v>
      </c>
      <c r="F29" s="118">
        <v>115250</v>
      </c>
      <c r="G29" s="133">
        <v>72775</v>
      </c>
      <c r="H29" s="126">
        <v>141500</v>
      </c>
    </row>
    <row r="30" ht="24" customHeight="1" spans="1:8">
      <c r="A30" s="107" t="s">
        <v>32</v>
      </c>
      <c r="B30" s="118">
        <f t="shared" si="2"/>
        <v>0</v>
      </c>
      <c r="C30" s="118"/>
      <c r="D30" s="133">
        <v>0</v>
      </c>
      <c r="E30" s="118">
        <f t="shared" si="5"/>
        <v>0</v>
      </c>
      <c r="F30" s="118"/>
      <c r="G30" s="133"/>
      <c r="H30" s="126">
        <v>0</v>
      </c>
    </row>
    <row r="31" ht="24" customHeight="1" spans="1:8">
      <c r="A31" s="107" t="s">
        <v>33</v>
      </c>
      <c r="B31" s="118">
        <f t="shared" si="2"/>
        <v>65</v>
      </c>
      <c r="C31" s="110">
        <v>65</v>
      </c>
      <c r="D31" s="133"/>
      <c r="E31" s="118">
        <f t="shared" si="5"/>
        <v>50</v>
      </c>
      <c r="F31" s="118">
        <v>50</v>
      </c>
      <c r="G31" s="133"/>
      <c r="H31" s="126">
        <v>1000</v>
      </c>
    </row>
    <row r="32" ht="24" customHeight="1" spans="1:7">
      <c r="A32" s="107" t="s">
        <v>34</v>
      </c>
      <c r="B32" s="118">
        <f t="shared" si="2"/>
        <v>163</v>
      </c>
      <c r="C32" s="118">
        <v>113</v>
      </c>
      <c r="D32" s="133">
        <v>50</v>
      </c>
      <c r="E32" s="118">
        <f t="shared" si="5"/>
        <v>100</v>
      </c>
      <c r="F32" s="118">
        <v>100</v>
      </c>
      <c r="G32" s="133">
        <v>0</v>
      </c>
    </row>
    <row r="33" ht="24" customHeight="1" spans="1:7">
      <c r="A33" s="105" t="s">
        <v>35</v>
      </c>
      <c r="B33" s="118">
        <f t="shared" si="2"/>
        <v>493112</v>
      </c>
      <c r="C33" s="118">
        <f>SUM(C34:C38)</f>
        <v>371612</v>
      </c>
      <c r="D33" s="118">
        <f>SUM(D34:D38)</f>
        <v>121500</v>
      </c>
      <c r="E33" s="118">
        <f t="shared" ref="E33:G33" si="6">SUM(E34:E38)</f>
        <v>507904.5</v>
      </c>
      <c r="F33" s="118">
        <f t="shared" si="6"/>
        <v>382760</v>
      </c>
      <c r="G33" s="118">
        <f t="shared" si="6"/>
        <v>125144.5</v>
      </c>
    </row>
    <row r="34" ht="24" customHeight="1" spans="1:9">
      <c r="A34" s="105" t="s">
        <v>12</v>
      </c>
      <c r="B34" s="118">
        <f t="shared" si="2"/>
        <v>239000</v>
      </c>
      <c r="C34" s="118">
        <f t="shared" ref="C34:G34" si="7">C10</f>
        <v>172500</v>
      </c>
      <c r="D34" s="118">
        <f t="shared" si="7"/>
        <v>66500</v>
      </c>
      <c r="E34" s="118">
        <f>SUM(F34:G34)</f>
        <v>248827.5</v>
      </c>
      <c r="F34" s="118">
        <f>F10</f>
        <v>180000</v>
      </c>
      <c r="G34" s="118">
        <f t="shared" si="7"/>
        <v>68827.5</v>
      </c>
      <c r="I34" s="127">
        <v>211080</v>
      </c>
    </row>
    <row r="35" ht="24" customHeight="1" spans="1:9">
      <c r="A35" s="105" t="s">
        <v>13</v>
      </c>
      <c r="B35" s="118">
        <f t="shared" si="2"/>
        <v>115800</v>
      </c>
      <c r="C35" s="118">
        <f t="shared" ref="C35:F35" si="8">C11*1.5</f>
        <v>79800</v>
      </c>
      <c r="D35" s="133">
        <f t="shared" si="8"/>
        <v>36000</v>
      </c>
      <c r="E35" s="118">
        <f>SUM(F35:G35)</f>
        <v>121332</v>
      </c>
      <c r="F35" s="118">
        <f>F11*1.5</f>
        <v>84000</v>
      </c>
      <c r="G35" s="133">
        <f>G11*1.5</f>
        <v>37332</v>
      </c>
      <c r="I35" s="127">
        <v>120000</v>
      </c>
    </row>
    <row r="36" ht="24" customHeight="1" spans="1:9">
      <c r="A36" s="105" t="s">
        <v>14</v>
      </c>
      <c r="B36" s="118">
        <f t="shared" si="2"/>
        <v>34380</v>
      </c>
      <c r="C36" s="118">
        <f>C12*1.5</f>
        <v>16380</v>
      </c>
      <c r="D36" s="133">
        <f>1.5*D12</f>
        <v>18000</v>
      </c>
      <c r="E36" s="118">
        <f>SUM(F36:G36)</f>
        <v>36270</v>
      </c>
      <c r="F36" s="118">
        <f>F12*1.5</f>
        <v>18000</v>
      </c>
      <c r="G36" s="133">
        <f>1.5*G12</f>
        <v>18270</v>
      </c>
      <c r="I36" s="127">
        <v>18000</v>
      </c>
    </row>
    <row r="37" ht="24" customHeight="1" spans="1:9">
      <c r="A37" s="105" t="s">
        <v>36</v>
      </c>
      <c r="B37" s="118">
        <f t="shared" si="2"/>
        <v>78632</v>
      </c>
      <c r="C37" s="110">
        <v>77632</v>
      </c>
      <c r="D37" s="110">
        <v>1000</v>
      </c>
      <c r="E37" s="118">
        <f>SUM(F37:G37)</f>
        <v>75975</v>
      </c>
      <c r="F37" s="110">
        <v>75260</v>
      </c>
      <c r="G37" s="118">
        <v>715</v>
      </c>
      <c r="H37" s="135">
        <f>7500+59418</f>
        <v>66918</v>
      </c>
      <c r="I37" s="127">
        <v>74508</v>
      </c>
    </row>
    <row r="38" ht="24" customHeight="1" spans="1:9">
      <c r="A38" s="105" t="s">
        <v>37</v>
      </c>
      <c r="B38" s="118">
        <f t="shared" si="2"/>
        <v>25300</v>
      </c>
      <c r="C38" s="110">
        <v>25300</v>
      </c>
      <c r="D38" s="118"/>
      <c r="E38" s="118">
        <f>SUM(F38:G38)</f>
        <v>25500</v>
      </c>
      <c r="F38" s="110">
        <v>25500</v>
      </c>
      <c r="G38" s="118"/>
      <c r="H38" s="135">
        <f>2500+21075</f>
        <v>23575</v>
      </c>
      <c r="I38" s="127">
        <v>32000</v>
      </c>
    </row>
  </sheetData>
  <mergeCells count="10">
    <mergeCell ref="A2:G2"/>
    <mergeCell ref="B4:D4"/>
    <mergeCell ref="E4:G4"/>
    <mergeCell ref="A4:A6"/>
    <mergeCell ref="B5:B6"/>
    <mergeCell ref="C5:C6"/>
    <mergeCell ref="D5:D6"/>
    <mergeCell ref="E5:E6"/>
    <mergeCell ref="F5:F6"/>
    <mergeCell ref="G5:G6"/>
  </mergeCells>
  <printOptions horizontalCentered="1"/>
  <pageMargins left="0.118055555555556" right="0.118055555555556" top="0.747916666666667" bottom="0.747916666666667" header="0.314583333333333" footer="0.314583333333333"/>
  <pageSetup paperSize="9" scale="80" firstPageNumber="14" orientation="portrait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H59"/>
  <sheetViews>
    <sheetView showZeros="0" zoomScale="115" zoomScaleNormal="115" topLeftCell="A25" workbookViewId="0">
      <selection activeCell="J17" sqref="J17"/>
    </sheetView>
  </sheetViews>
  <sheetFormatPr defaultColWidth="9" defaultRowHeight="13.5" outlineLevelCol="7"/>
  <cols>
    <col min="1" max="1" width="29.5" style="84" customWidth="1"/>
    <col min="2" max="2" width="11.525" style="84" customWidth="1"/>
    <col min="3" max="3" width="10.75" style="84" customWidth="1"/>
    <col min="4" max="4" width="10.75" style="112" customWidth="1"/>
    <col min="5" max="5" width="10.75" style="85" customWidth="1"/>
    <col min="6" max="6" width="12.625" style="85" customWidth="1"/>
    <col min="7" max="7" width="10.75" style="85" customWidth="1"/>
    <col min="8" max="8" width="11.5" style="84" customWidth="1"/>
    <col min="9" max="10" width="9" style="84" customWidth="1"/>
    <col min="11" max="11" width="12.625" style="84" customWidth="1"/>
    <col min="12" max="15" width="9" style="84" customWidth="1"/>
    <col min="16" max="22" width="9" style="84"/>
    <col min="23" max="24" width="12.625" style="84"/>
    <col min="25" max="16384" width="9" style="84"/>
  </cols>
  <sheetData>
    <row r="1" ht="21" customHeight="1" spans="1:1">
      <c r="A1" s="84" t="s">
        <v>38</v>
      </c>
    </row>
    <row r="2" ht="33.75" customHeight="1" spans="1:7">
      <c r="A2" s="87" t="s">
        <v>39</v>
      </c>
      <c r="E2" s="87"/>
      <c r="F2" s="87"/>
      <c r="G2" s="87"/>
    </row>
    <row r="3" ht="21" customHeight="1" spans="5:7">
      <c r="E3" s="89"/>
      <c r="G3" s="85" t="s">
        <v>2</v>
      </c>
    </row>
    <row r="4" ht="18" customHeight="1" spans="1:7">
      <c r="A4" s="91" t="s">
        <v>3</v>
      </c>
      <c r="B4" s="113" t="s">
        <v>40</v>
      </c>
      <c r="C4" s="114"/>
      <c r="D4" s="115"/>
      <c r="E4" s="91" t="s">
        <v>5</v>
      </c>
      <c r="F4" s="91"/>
      <c r="G4" s="91"/>
    </row>
    <row r="5" ht="14.25" customHeight="1" spans="1:7">
      <c r="A5" s="91"/>
      <c r="B5" s="96" t="s">
        <v>6</v>
      </c>
      <c r="C5" s="96" t="s">
        <v>7</v>
      </c>
      <c r="D5" s="97" t="s">
        <v>8</v>
      </c>
      <c r="E5" s="96" t="s">
        <v>6</v>
      </c>
      <c r="F5" s="96" t="s">
        <v>7</v>
      </c>
      <c r="G5" s="96" t="s">
        <v>8</v>
      </c>
    </row>
    <row r="6" ht="14.25" customHeight="1" spans="1:7">
      <c r="A6" s="91"/>
      <c r="B6" s="98"/>
      <c r="C6" s="98"/>
      <c r="D6" s="99"/>
      <c r="E6" s="98"/>
      <c r="F6" s="98"/>
      <c r="G6" s="98"/>
    </row>
    <row r="7" ht="24" customHeight="1" spans="1:8">
      <c r="A7" s="105" t="s">
        <v>41</v>
      </c>
      <c r="B7" s="116">
        <f>SUM(C7:D7)</f>
        <v>1028257.55121309</v>
      </c>
      <c r="C7" s="116">
        <f>SUM(C8:C30)</f>
        <v>754870.551213091</v>
      </c>
      <c r="D7" s="116">
        <f>SUM(D8:D30)</f>
        <v>273387</v>
      </c>
      <c r="E7" s="116">
        <f>F7+G7</f>
        <v>1023306.6</v>
      </c>
      <c r="F7" s="116">
        <f>SUM(F8:F30)</f>
        <v>739936</v>
      </c>
      <c r="G7" s="116">
        <f>SUM(G8:G30)</f>
        <v>283370.6</v>
      </c>
      <c r="H7" s="117"/>
    </row>
    <row r="8" ht="24" customHeight="1" spans="1:7">
      <c r="A8" s="105" t="s">
        <v>42</v>
      </c>
      <c r="B8" s="116">
        <f>SUM(C8:D8)</f>
        <v>79878.5012750909</v>
      </c>
      <c r="C8" s="116">
        <v>61084.5012750909</v>
      </c>
      <c r="D8" s="116">
        <v>18794</v>
      </c>
      <c r="E8" s="116">
        <f>F8+G8</f>
        <v>137986.028709</v>
      </c>
      <c r="F8" s="116">
        <v>123646.028709</v>
      </c>
      <c r="G8" s="118">
        <f>-137+14477</f>
        <v>14340</v>
      </c>
    </row>
    <row r="9" ht="24" customHeight="1" spans="1:7">
      <c r="A9" s="105" t="s">
        <v>43</v>
      </c>
      <c r="B9" s="116">
        <f t="shared" ref="B9:B22" si="0">SUM(C9:D9)</f>
        <v>624.981388</v>
      </c>
      <c r="C9" s="116">
        <v>624.981388</v>
      </c>
      <c r="D9" s="116">
        <v>0</v>
      </c>
      <c r="E9" s="116">
        <f t="shared" ref="E9:E34" si="1">F9+G9</f>
        <v>375.87</v>
      </c>
      <c r="F9" s="116">
        <v>375.87</v>
      </c>
      <c r="G9" s="118"/>
    </row>
    <row r="10" ht="24" customHeight="1" spans="1:7">
      <c r="A10" s="107" t="s">
        <v>44</v>
      </c>
      <c r="B10" s="116">
        <f t="shared" si="0"/>
        <v>30079.7143352727</v>
      </c>
      <c r="C10" s="116">
        <v>25130.7143352727</v>
      </c>
      <c r="D10" s="116">
        <v>4949</v>
      </c>
      <c r="E10" s="116">
        <f t="shared" si="1"/>
        <v>27952.1318</v>
      </c>
      <c r="F10" s="116">
        <v>24080.1318</v>
      </c>
      <c r="G10" s="118">
        <f>137+3735</f>
        <v>3872</v>
      </c>
    </row>
    <row r="11" s="84" customFormat="1" ht="24" customHeight="1" spans="1:7">
      <c r="A11" s="107" t="s">
        <v>45</v>
      </c>
      <c r="B11" s="116">
        <f t="shared" si="0"/>
        <v>208010.946612545</v>
      </c>
      <c r="C11" s="116">
        <v>132202.946612545</v>
      </c>
      <c r="D11" s="116">
        <v>75808</v>
      </c>
      <c r="E11" s="116">
        <f t="shared" si="1"/>
        <v>219389.43</v>
      </c>
      <c r="F11" s="116">
        <v>142479.43</v>
      </c>
      <c r="G11" s="118">
        <f>76910</f>
        <v>76910</v>
      </c>
    </row>
    <row r="12" s="84" customFormat="1" ht="24" customHeight="1" spans="1:7">
      <c r="A12" s="107" t="s">
        <v>46</v>
      </c>
      <c r="B12" s="116">
        <f t="shared" si="0"/>
        <v>18791.1250803636</v>
      </c>
      <c r="C12" s="116">
        <v>1797.12508036364</v>
      </c>
      <c r="D12" s="116">
        <v>16994</v>
      </c>
      <c r="E12" s="116">
        <f t="shared" si="1"/>
        <v>28291.9591</v>
      </c>
      <c r="F12" s="116">
        <v>5421.9591</v>
      </c>
      <c r="G12" s="118">
        <v>22870</v>
      </c>
    </row>
    <row r="13" s="84" customFormat="1" ht="24" customHeight="1" spans="1:7">
      <c r="A13" s="107" t="s">
        <v>47</v>
      </c>
      <c r="B13" s="116">
        <f t="shared" si="0"/>
        <v>11181.0369014545</v>
      </c>
      <c r="C13" s="116">
        <v>10569.0369014545</v>
      </c>
      <c r="D13" s="116">
        <v>612</v>
      </c>
      <c r="E13" s="116">
        <f t="shared" si="1"/>
        <v>10499.01</v>
      </c>
      <c r="F13" s="116">
        <v>9488.01</v>
      </c>
      <c r="G13" s="118">
        <v>1011</v>
      </c>
    </row>
    <row r="14" s="84" customFormat="1" ht="24" customHeight="1" spans="1:7">
      <c r="A14" s="107" t="s">
        <v>48</v>
      </c>
      <c r="B14" s="116">
        <f t="shared" si="0"/>
        <v>162047.103884273</v>
      </c>
      <c r="C14" s="116">
        <v>142026.103884273</v>
      </c>
      <c r="D14" s="116">
        <v>20021</v>
      </c>
      <c r="E14" s="116">
        <f t="shared" si="1"/>
        <v>173131.568023</v>
      </c>
      <c r="F14" s="116">
        <v>151330.568023</v>
      </c>
      <c r="G14" s="118">
        <v>21801</v>
      </c>
    </row>
    <row r="15" s="84" customFormat="1" ht="24" customHeight="1" spans="1:7">
      <c r="A15" s="107" t="s">
        <v>49</v>
      </c>
      <c r="B15" s="116">
        <f t="shared" si="0"/>
        <v>78281.5186743637</v>
      </c>
      <c r="C15" s="116">
        <v>62764.5186743637</v>
      </c>
      <c r="D15" s="116">
        <v>15517</v>
      </c>
      <c r="E15" s="116">
        <f t="shared" si="1"/>
        <v>87334.3173760001</v>
      </c>
      <c r="F15" s="116">
        <v>77658.3173760001</v>
      </c>
      <c r="G15" s="118">
        <v>9676</v>
      </c>
    </row>
    <row r="16" s="84" customFormat="1" ht="24" customHeight="1" spans="1:7">
      <c r="A16" s="107" t="s">
        <v>50</v>
      </c>
      <c r="B16" s="116">
        <f t="shared" si="0"/>
        <v>11429.685356</v>
      </c>
      <c r="C16" s="116">
        <v>7830.685356</v>
      </c>
      <c r="D16" s="116">
        <v>3599</v>
      </c>
      <c r="E16" s="116">
        <f t="shared" si="1"/>
        <v>3912.6</v>
      </c>
      <c r="F16" s="116"/>
      <c r="G16" s="118">
        <v>3912.6</v>
      </c>
    </row>
    <row r="17" s="84" customFormat="1" ht="24" customHeight="1" spans="1:7">
      <c r="A17" s="107" t="s">
        <v>51</v>
      </c>
      <c r="B17" s="116">
        <f t="shared" si="0"/>
        <v>298218.872613</v>
      </c>
      <c r="C17" s="116">
        <v>206073.872613</v>
      </c>
      <c r="D17" s="116">
        <f>88645+3500</f>
        <v>92145</v>
      </c>
      <c r="E17" s="116">
        <f t="shared" si="1"/>
        <v>127619.467576</v>
      </c>
      <c r="F17" s="116">
        <v>22147.467576</v>
      </c>
      <c r="G17" s="118">
        <v>105472</v>
      </c>
    </row>
    <row r="18" s="84" customFormat="1" ht="24" customHeight="1" spans="1:7">
      <c r="A18" s="107" t="s">
        <v>52</v>
      </c>
      <c r="B18" s="116">
        <f t="shared" si="0"/>
        <v>33193.4466478182</v>
      </c>
      <c r="C18" s="116">
        <f>26942.4466478182+3000</f>
        <v>29942.4466478182</v>
      </c>
      <c r="D18" s="116">
        <v>3251</v>
      </c>
      <c r="E18" s="116">
        <f t="shared" si="1"/>
        <v>35620.171866</v>
      </c>
      <c r="F18" s="116">
        <v>34131.171866</v>
      </c>
      <c r="G18" s="118">
        <v>1489</v>
      </c>
    </row>
    <row r="19" s="84" customFormat="1" ht="24" customHeight="1" spans="1:7">
      <c r="A19" s="107" t="s">
        <v>53</v>
      </c>
      <c r="B19" s="116">
        <f t="shared" si="0"/>
        <v>11777.0480096364</v>
      </c>
      <c r="C19" s="116">
        <v>6195.04800963636</v>
      </c>
      <c r="D19" s="116">
        <v>5582</v>
      </c>
      <c r="E19" s="116">
        <f t="shared" si="1"/>
        <v>7800.207</v>
      </c>
      <c r="F19" s="116">
        <v>6649.207</v>
      </c>
      <c r="G19" s="118">
        <v>1151</v>
      </c>
    </row>
    <row r="20" ht="24" customHeight="1" spans="1:7">
      <c r="A20" s="107" t="s">
        <v>54</v>
      </c>
      <c r="B20" s="116">
        <f t="shared" si="0"/>
        <v>7587.44751463636</v>
      </c>
      <c r="C20" s="116">
        <v>7361.44751463636</v>
      </c>
      <c r="D20" s="116">
        <v>226</v>
      </c>
      <c r="E20" s="116">
        <f t="shared" si="1"/>
        <v>36297.41546</v>
      </c>
      <c r="F20" s="116">
        <v>35387.41546</v>
      </c>
      <c r="G20" s="118">
        <v>910</v>
      </c>
    </row>
    <row r="21" s="84" customFormat="1" ht="24" customHeight="1" spans="1:7">
      <c r="A21" s="107" t="s">
        <v>55</v>
      </c>
      <c r="B21" s="116">
        <f t="shared" si="0"/>
        <v>2136.74214527273</v>
      </c>
      <c r="C21" s="116">
        <v>2136.74214527273</v>
      </c>
      <c r="D21" s="116">
        <v>0</v>
      </c>
      <c r="E21" s="116">
        <f t="shared" si="1"/>
        <v>23068.4051</v>
      </c>
      <c r="F21" s="116">
        <v>23068.4051</v>
      </c>
      <c r="G21" s="118">
        <v>0</v>
      </c>
    </row>
    <row r="22" ht="24" customHeight="1" spans="1:7">
      <c r="A22" s="107" t="s">
        <v>56</v>
      </c>
      <c r="B22" s="116">
        <f t="shared" si="0"/>
        <v>9771</v>
      </c>
      <c r="C22" s="116"/>
      <c r="D22" s="116">
        <v>9771</v>
      </c>
      <c r="E22" s="116">
        <f t="shared" si="1"/>
        <v>10005</v>
      </c>
      <c r="F22" s="116"/>
      <c r="G22" s="118">
        <v>10005</v>
      </c>
    </row>
    <row r="23" s="84" customFormat="1" ht="24" customHeight="1" spans="1:7">
      <c r="A23" s="105" t="s">
        <v>57</v>
      </c>
      <c r="B23" s="116">
        <f t="shared" ref="B23:B32" si="2">SUM(C23:D23)</f>
        <v>9400.12691090909</v>
      </c>
      <c r="C23" s="116">
        <v>6683.12691090909</v>
      </c>
      <c r="D23" s="116">
        <v>2717</v>
      </c>
      <c r="E23" s="116">
        <f t="shared" si="1"/>
        <v>10664.454</v>
      </c>
      <c r="F23" s="116">
        <v>8343.454</v>
      </c>
      <c r="G23" s="118">
        <v>2321</v>
      </c>
    </row>
    <row r="24" s="84" customFormat="1" ht="24" customHeight="1" spans="1:7">
      <c r="A24" s="107" t="s">
        <v>58</v>
      </c>
      <c r="B24" s="116">
        <f t="shared" si="2"/>
        <v>23990.6780247273</v>
      </c>
      <c r="C24" s="116">
        <v>21482.6780247273</v>
      </c>
      <c r="D24" s="116">
        <v>2508</v>
      </c>
      <c r="E24" s="116">
        <f t="shared" si="1"/>
        <v>24611.7272</v>
      </c>
      <c r="F24" s="116">
        <v>21666.7272</v>
      </c>
      <c r="G24" s="118">
        <v>2945</v>
      </c>
    </row>
    <row r="25" s="84" customFormat="1" ht="24" customHeight="1" spans="1:7">
      <c r="A25" s="107" t="s">
        <v>59</v>
      </c>
      <c r="B25" s="116">
        <f t="shared" si="2"/>
        <v>3422.58409572727</v>
      </c>
      <c r="C25" s="116">
        <v>3422.58409572727</v>
      </c>
      <c r="D25" s="116"/>
      <c r="E25" s="116">
        <f t="shared" si="1"/>
        <v>2967.49</v>
      </c>
      <c r="F25" s="116">
        <v>2967.49</v>
      </c>
      <c r="G25" s="118"/>
    </row>
    <row r="26" ht="24" customHeight="1" spans="1:7">
      <c r="A26" s="119" t="s">
        <v>60</v>
      </c>
      <c r="B26" s="116">
        <f t="shared" si="2"/>
        <v>5040.349449</v>
      </c>
      <c r="C26" s="116">
        <v>4147.349449</v>
      </c>
      <c r="D26" s="116">
        <v>893</v>
      </c>
      <c r="E26" s="116">
        <f t="shared" si="1"/>
        <v>6336.34679</v>
      </c>
      <c r="F26" s="116">
        <v>5151.34679</v>
      </c>
      <c r="G26" s="118">
        <v>1185</v>
      </c>
    </row>
    <row r="27" ht="24" customHeight="1" spans="1:7">
      <c r="A27" s="107" t="s">
        <v>61</v>
      </c>
      <c r="B27" s="116">
        <f t="shared" si="2"/>
        <v>0</v>
      </c>
      <c r="C27" s="116">
        <v>0</v>
      </c>
      <c r="D27" s="116">
        <f>3500-3500</f>
        <v>0</v>
      </c>
      <c r="E27" s="116">
        <f t="shared" si="1"/>
        <v>18500</v>
      </c>
      <c r="F27" s="116">
        <v>15000</v>
      </c>
      <c r="G27" s="106">
        <v>3500</v>
      </c>
    </row>
    <row r="28" ht="24" customHeight="1" spans="1:7">
      <c r="A28" s="107" t="s">
        <v>62</v>
      </c>
      <c r="B28" s="116">
        <f t="shared" si="2"/>
        <v>11103.642295</v>
      </c>
      <c r="C28" s="116">
        <v>11103.642295</v>
      </c>
      <c r="D28" s="116">
        <v>0</v>
      </c>
      <c r="E28" s="116">
        <f t="shared" si="1"/>
        <v>18733</v>
      </c>
      <c r="F28" s="116">
        <v>18733</v>
      </c>
      <c r="G28" s="120"/>
    </row>
    <row r="29" ht="24" customHeight="1" spans="1:7">
      <c r="A29" s="107" t="s">
        <v>63</v>
      </c>
      <c r="B29" s="116">
        <f t="shared" si="2"/>
        <v>12250</v>
      </c>
      <c r="C29" s="116">
        <v>12250</v>
      </c>
      <c r="D29" s="116"/>
      <c r="E29" s="116">
        <f t="shared" si="1"/>
        <v>12150</v>
      </c>
      <c r="F29" s="116">
        <v>12150</v>
      </c>
      <c r="G29" s="118"/>
    </row>
    <row r="30" ht="23.25" customHeight="1" spans="1:7">
      <c r="A30" s="107" t="s">
        <v>64</v>
      </c>
      <c r="B30" s="116">
        <f t="shared" si="2"/>
        <v>41</v>
      </c>
      <c r="C30" s="116">
        <v>41</v>
      </c>
      <c r="D30" s="116"/>
      <c r="E30" s="116">
        <f t="shared" si="1"/>
        <v>60</v>
      </c>
      <c r="F30" s="116">
        <v>60</v>
      </c>
      <c r="G30" s="111"/>
    </row>
    <row r="31" ht="20.25" hidden="1" customHeight="1" spans="1:6">
      <c r="A31" s="121" t="s">
        <v>65</v>
      </c>
      <c r="E31" s="122">
        <f t="shared" si="1"/>
        <v>0</v>
      </c>
      <c r="F31" s="123"/>
    </row>
    <row r="32" ht="24" hidden="1" customHeight="1" spans="1:6">
      <c r="A32" s="84" t="s">
        <v>66</v>
      </c>
      <c r="B32" s="84">
        <f>SUM(B11:B19,B21,B23:B25)</f>
        <v>871880.914956091</v>
      </c>
      <c r="C32" s="84">
        <f>SUM(C11:C19,C21,C23:C25)</f>
        <v>633126.914956091</v>
      </c>
      <c r="D32" s="84">
        <f>SUM(D11:D19,D21,D23:D25)</f>
        <v>238754</v>
      </c>
      <c r="E32" s="122">
        <f t="shared" si="1"/>
        <v>0</v>
      </c>
      <c r="F32" s="123"/>
    </row>
    <row r="33" ht="14.25" hidden="1" spans="2:5">
      <c r="B33" s="104">
        <f>B32/B7</f>
        <v>0.847920750912537</v>
      </c>
      <c r="C33" s="104">
        <f>C32/C7</f>
        <v>0.838722498763059</v>
      </c>
      <c r="D33" s="104">
        <f>D32/D7</f>
        <v>0.873318775216086</v>
      </c>
      <c r="E33" s="122">
        <f t="shared" si="1"/>
        <v>0</v>
      </c>
    </row>
    <row r="34" hidden="1"/>
    <row r="35" hidden="1" spans="7:7">
      <c r="G35" s="112"/>
    </row>
    <row r="36" hidden="1" spans="3:7">
      <c r="C36" s="84">
        <v>70994</v>
      </c>
      <c r="G36" s="112"/>
    </row>
    <row r="37" hidden="1" spans="7:7">
      <c r="G37" s="85">
        <v>2000</v>
      </c>
    </row>
    <row r="38" hidden="1"/>
    <row r="39" hidden="1"/>
    <row r="40" hidden="1"/>
    <row r="41" hidden="1"/>
    <row r="42" hidden="1"/>
    <row r="43" hidden="1"/>
    <row r="44" hidden="1"/>
    <row r="45" hidden="1"/>
    <row r="46" hidden="1" spans="1:1">
      <c r="A46" s="84">
        <v>10.28</v>
      </c>
    </row>
    <row r="47" hidden="1" spans="1:1">
      <c r="A47" s="84">
        <v>16.63</v>
      </c>
    </row>
    <row r="48" hidden="1" spans="1:1">
      <c r="A48" s="84">
        <v>17.68</v>
      </c>
    </row>
    <row r="49" hidden="1" spans="1:1">
      <c r="A49" s="84">
        <v>24.22</v>
      </c>
    </row>
    <row r="50" hidden="1" spans="1:1">
      <c r="A50" s="84">
        <v>3.15</v>
      </c>
    </row>
    <row r="51" hidden="1" spans="1:1">
      <c r="A51" s="84">
        <v>8.39</v>
      </c>
    </row>
    <row r="52" hidden="1" spans="1:1">
      <c r="A52" s="84">
        <v>3.12</v>
      </c>
    </row>
    <row r="53" hidden="1" spans="1:1">
      <c r="A53" s="84">
        <v>8.33</v>
      </c>
    </row>
    <row r="54" hidden="1" spans="1:1">
      <c r="A54" s="84">
        <v>7.31</v>
      </c>
    </row>
    <row r="55" hidden="1" spans="1:1">
      <c r="A55" s="84">
        <v>1.25</v>
      </c>
    </row>
    <row r="56" hidden="1" spans="1:1">
      <c r="A56" s="84">
        <v>2.47</v>
      </c>
    </row>
    <row r="57" hidden="1" spans="1:1">
      <c r="A57" s="84">
        <v>4.49</v>
      </c>
    </row>
    <row r="58" ht="32" hidden="1" customHeight="1" spans="2:5">
      <c r="B58" s="84">
        <f>B11+B12+B13+B14+B15+B16+B17+B18+B19+B21+B23+B24+B25</f>
        <v>871880.914956091</v>
      </c>
      <c r="C58" s="84">
        <f>C11+C12+C13+C14+C15+C16+C17+C18+C19+C21+C23+C24+C25</f>
        <v>633126.914956091</v>
      </c>
      <c r="D58" s="84">
        <f>D11+D12+D13+D14+D15+D16+D17+D18+D19+D21+D23+D24+D25</f>
        <v>238754</v>
      </c>
      <c r="E58" s="85">
        <v>359160.644424</v>
      </c>
    </row>
    <row r="59" hidden="1" spans="2:5">
      <c r="B59" s="124">
        <f>B58/B7</f>
        <v>0.847920750912537</v>
      </c>
      <c r="C59" s="124">
        <f>C58/C7</f>
        <v>0.838722498763059</v>
      </c>
      <c r="D59" s="124">
        <f>D58/D7</f>
        <v>0.873318775216086</v>
      </c>
      <c r="E59" s="125">
        <f>E58/E7</f>
        <v>0.35098048270577</v>
      </c>
    </row>
  </sheetData>
  <mergeCells count="10">
    <mergeCell ref="A2:G2"/>
    <mergeCell ref="B4:D4"/>
    <mergeCell ref="E4:G4"/>
    <mergeCell ref="A4:A6"/>
    <mergeCell ref="B5:B6"/>
    <mergeCell ref="C5:C6"/>
    <mergeCell ref="D5:D6"/>
    <mergeCell ref="E5:E6"/>
    <mergeCell ref="F5:F6"/>
    <mergeCell ref="G5:G6"/>
  </mergeCells>
  <printOptions horizontalCentered="1"/>
  <pageMargins left="0.708333333333333" right="0.629861111111111" top="0.747916666666667" bottom="0.747916666666667" header="0.314583333333333" footer="0.314583333333333"/>
  <pageSetup paperSize="9" scale="93" firstPageNumber="15" orientation="portrait" useFirstPageNumber="1" horizontalDpi="600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M16"/>
  <sheetViews>
    <sheetView topLeftCell="A17" workbookViewId="0">
      <selection activeCell="A1" sqref="A1"/>
    </sheetView>
  </sheetViews>
  <sheetFormatPr defaultColWidth="9" defaultRowHeight="13.5"/>
  <cols>
    <col min="1" max="1" width="26.125" style="84" customWidth="1"/>
    <col min="2" max="7" width="10.25" style="85" customWidth="1"/>
    <col min="8" max="8" width="12.625" style="84" hidden="1" customWidth="1"/>
    <col min="9" max="9" width="9" style="84" hidden="1" customWidth="1"/>
    <col min="10" max="10" width="13.75" style="84" hidden="1" customWidth="1"/>
    <col min="11" max="14" width="9" style="84" hidden="1" customWidth="1"/>
    <col min="15" max="16384" width="9" style="84"/>
  </cols>
  <sheetData>
    <row r="1" ht="21" customHeight="1" spans="1:1">
      <c r="A1" s="84" t="s">
        <v>67</v>
      </c>
    </row>
    <row r="2" ht="33.75" customHeight="1" spans="1:7">
      <c r="A2" s="87" t="s">
        <v>68</v>
      </c>
      <c r="B2" s="87"/>
      <c r="C2" s="87"/>
      <c r="D2" s="87"/>
      <c r="E2" s="87"/>
      <c r="F2" s="87"/>
      <c r="G2" s="87"/>
    </row>
    <row r="3" ht="21" customHeight="1" spans="5:7">
      <c r="E3" s="89"/>
      <c r="G3" s="85" t="s">
        <v>2</v>
      </c>
    </row>
    <row r="4" ht="41.25" customHeight="1" spans="1:7">
      <c r="A4" s="91" t="s">
        <v>3</v>
      </c>
      <c r="B4" s="92" t="s">
        <v>4</v>
      </c>
      <c r="C4" s="93"/>
      <c r="D4" s="94"/>
      <c r="E4" s="91" t="s">
        <v>5</v>
      </c>
      <c r="F4" s="91"/>
      <c r="G4" s="91"/>
    </row>
    <row r="5" ht="41.25" customHeight="1" spans="1:7">
      <c r="A5" s="91"/>
      <c r="B5" s="96" t="s">
        <v>6</v>
      </c>
      <c r="C5" s="96" t="s">
        <v>7</v>
      </c>
      <c r="D5" s="96" t="s">
        <v>8</v>
      </c>
      <c r="E5" s="96" t="s">
        <v>6</v>
      </c>
      <c r="F5" s="96" t="s">
        <v>7</v>
      </c>
      <c r="G5" s="96" t="s">
        <v>8</v>
      </c>
    </row>
    <row r="6" ht="41.25" customHeight="1" spans="1:7">
      <c r="A6" s="91"/>
      <c r="B6" s="98"/>
      <c r="C6" s="98"/>
      <c r="D6" s="98"/>
      <c r="E6" s="98"/>
      <c r="F6" s="98"/>
      <c r="G6" s="98"/>
    </row>
    <row r="7" ht="49.5" customHeight="1" spans="1:13">
      <c r="A7" s="105" t="s">
        <v>69</v>
      </c>
      <c r="B7" s="106">
        <f>C7+D7</f>
        <v>212376.298693</v>
      </c>
      <c r="C7" s="106">
        <f t="shared" ref="C7:G7" si="0">C8+C12</f>
        <v>64876.298693</v>
      </c>
      <c r="D7" s="106">
        <f t="shared" si="0"/>
        <v>147500</v>
      </c>
      <c r="E7" s="106">
        <f>SUM(F7:G7)</f>
        <v>480000</v>
      </c>
      <c r="F7" s="106">
        <f t="shared" si="0"/>
        <v>330000</v>
      </c>
      <c r="G7" s="106">
        <f t="shared" si="0"/>
        <v>150000</v>
      </c>
      <c r="H7" s="104">
        <f>E7/B7</f>
        <v>2.26013921023204</v>
      </c>
      <c r="I7" s="104">
        <f>F7/C7</f>
        <v>5.08660337670599</v>
      </c>
      <c r="J7" s="104">
        <f>G7/D7</f>
        <v>1.01694915254237</v>
      </c>
      <c r="L7" s="84">
        <f>ROUND(B7,0)</f>
        <v>212376</v>
      </c>
      <c r="M7" s="84">
        <f>ROUND(E7,0)</f>
        <v>480000</v>
      </c>
    </row>
    <row r="8" ht="49.5" customHeight="1" spans="1:13">
      <c r="A8" s="105" t="s">
        <v>70</v>
      </c>
      <c r="B8" s="106">
        <f t="shared" ref="B8:B16" si="1">C8+D8</f>
        <v>202955</v>
      </c>
      <c r="C8" s="106">
        <f t="shared" ref="C8:G8" si="2">SUM(C9:C11)</f>
        <v>56355</v>
      </c>
      <c r="D8" s="106">
        <f>D9+D10+D11</f>
        <v>146600</v>
      </c>
      <c r="E8" s="106">
        <f t="shared" ref="E8:E15" si="3">SUM(F8:G8)</f>
        <v>469000</v>
      </c>
      <c r="F8" s="106">
        <f t="shared" si="2"/>
        <v>320000</v>
      </c>
      <c r="G8" s="106">
        <f>G9+G10+G11</f>
        <v>149000</v>
      </c>
      <c r="J8" s="84">
        <f>(G7-D7)/D7</f>
        <v>0.0169491525423729</v>
      </c>
      <c r="L8" s="84">
        <f t="shared" ref="L8:L16" si="4">ROUND(B8,0)</f>
        <v>202955</v>
      </c>
      <c r="M8" s="84">
        <f t="shared" ref="M8:M16" si="5">ROUND(E8,0)</f>
        <v>469000</v>
      </c>
    </row>
    <row r="9" ht="49.5" customHeight="1" spans="1:13">
      <c r="A9" s="105" t="s">
        <v>71</v>
      </c>
      <c r="B9" s="106">
        <f t="shared" si="1"/>
        <v>202955</v>
      </c>
      <c r="C9" s="106">
        <v>56355</v>
      </c>
      <c r="D9" s="106">
        <v>146600</v>
      </c>
      <c r="E9" s="106">
        <f t="shared" si="3"/>
        <v>469000</v>
      </c>
      <c r="F9" s="106">
        <f>290000+30000</f>
        <v>320000</v>
      </c>
      <c r="G9" s="106">
        <v>149000</v>
      </c>
      <c r="L9" s="84">
        <f t="shared" si="4"/>
        <v>202955</v>
      </c>
      <c r="M9" s="84">
        <f t="shared" si="5"/>
        <v>469000</v>
      </c>
    </row>
    <row r="10" ht="49.5" customHeight="1" spans="1:13">
      <c r="A10" s="107" t="s">
        <v>72</v>
      </c>
      <c r="B10" s="106">
        <f t="shared" si="1"/>
        <v>0</v>
      </c>
      <c r="C10" s="106"/>
      <c r="D10" s="106"/>
      <c r="E10" s="106">
        <f t="shared" si="3"/>
        <v>0</v>
      </c>
      <c r="F10" s="106"/>
      <c r="G10" s="106"/>
      <c r="L10" s="84">
        <f t="shared" si="4"/>
        <v>0</v>
      </c>
      <c r="M10" s="84">
        <f t="shared" si="5"/>
        <v>0</v>
      </c>
    </row>
    <row r="11" ht="49.5" customHeight="1" spans="1:13">
      <c r="A11" s="107" t="s">
        <v>73</v>
      </c>
      <c r="B11" s="106">
        <f t="shared" si="1"/>
        <v>0</v>
      </c>
      <c r="C11" s="106"/>
      <c r="D11" s="106"/>
      <c r="E11" s="106">
        <f t="shared" si="3"/>
        <v>0</v>
      </c>
      <c r="F11" s="106"/>
      <c r="G11" s="106"/>
      <c r="L11" s="84">
        <f t="shared" si="4"/>
        <v>0</v>
      </c>
      <c r="M11" s="84">
        <f t="shared" si="5"/>
        <v>0</v>
      </c>
    </row>
    <row r="12" ht="49.5" customHeight="1" spans="1:13">
      <c r="A12" s="107" t="s">
        <v>74</v>
      </c>
      <c r="B12" s="106">
        <f t="shared" si="1"/>
        <v>9421.298693</v>
      </c>
      <c r="C12" s="108">
        <f>SUM(C13:C16)</f>
        <v>8521.298693</v>
      </c>
      <c r="D12" s="108">
        <f>D13+D14+D15+D16</f>
        <v>900</v>
      </c>
      <c r="E12" s="106">
        <f t="shared" si="3"/>
        <v>11000</v>
      </c>
      <c r="F12" s="108">
        <f>SUM(F13:F15)</f>
        <v>10000</v>
      </c>
      <c r="G12" s="108">
        <f>SUM(G13:G15)</f>
        <v>1000</v>
      </c>
      <c r="L12" s="84">
        <f t="shared" si="4"/>
        <v>9421</v>
      </c>
      <c r="M12" s="84">
        <f t="shared" si="5"/>
        <v>11000</v>
      </c>
    </row>
    <row r="13" ht="49.5" customHeight="1" spans="1:13">
      <c r="A13" s="109" t="s">
        <v>75</v>
      </c>
      <c r="B13" s="106">
        <f t="shared" si="1"/>
        <v>1900</v>
      </c>
      <c r="C13" s="108">
        <v>1000</v>
      </c>
      <c r="D13" s="108">
        <v>900</v>
      </c>
      <c r="E13" s="106">
        <f t="shared" si="3"/>
        <v>2000</v>
      </c>
      <c r="F13" s="106">
        <v>1000</v>
      </c>
      <c r="G13" s="106">
        <v>1000</v>
      </c>
      <c r="L13" s="84">
        <f t="shared" si="4"/>
        <v>1900</v>
      </c>
      <c r="M13" s="84">
        <f t="shared" si="5"/>
        <v>2000</v>
      </c>
    </row>
    <row r="14" ht="49.5" customHeight="1" spans="1:13">
      <c r="A14" s="109" t="s">
        <v>76</v>
      </c>
      <c r="B14" s="106">
        <f t="shared" si="1"/>
        <v>2500</v>
      </c>
      <c r="C14" s="108">
        <v>2500</v>
      </c>
      <c r="D14" s="108"/>
      <c r="E14" s="106">
        <f t="shared" si="3"/>
        <v>2500</v>
      </c>
      <c r="F14" s="106">
        <v>2500</v>
      </c>
      <c r="G14" s="106"/>
      <c r="L14" s="84">
        <f t="shared" si="4"/>
        <v>2500</v>
      </c>
      <c r="M14" s="84">
        <f t="shared" si="5"/>
        <v>2500</v>
      </c>
    </row>
    <row r="15" ht="49.5" customHeight="1" spans="1:13">
      <c r="A15" s="109" t="s">
        <v>77</v>
      </c>
      <c r="B15" s="106">
        <f t="shared" si="1"/>
        <v>4881</v>
      </c>
      <c r="C15" s="108">
        <v>4881</v>
      </c>
      <c r="D15" s="108"/>
      <c r="E15" s="106">
        <f t="shared" si="3"/>
        <v>6500</v>
      </c>
      <c r="F15" s="106">
        <v>6500</v>
      </c>
      <c r="G15" s="106"/>
      <c r="L15" s="84">
        <f t="shared" si="4"/>
        <v>4881</v>
      </c>
      <c r="M15" s="84">
        <f t="shared" si="5"/>
        <v>6500</v>
      </c>
    </row>
    <row r="16" ht="51" customHeight="1" spans="1:13">
      <c r="A16" s="109" t="s">
        <v>78</v>
      </c>
      <c r="B16" s="106">
        <f t="shared" si="1"/>
        <v>140.298693</v>
      </c>
      <c r="C16" s="110">
        <v>140.298693</v>
      </c>
      <c r="D16" s="111"/>
      <c r="E16" s="111"/>
      <c r="F16" s="111"/>
      <c r="G16" s="111"/>
      <c r="L16" s="84">
        <f t="shared" si="4"/>
        <v>140</v>
      </c>
      <c r="M16" s="84">
        <f t="shared" si="5"/>
        <v>0</v>
      </c>
    </row>
  </sheetData>
  <mergeCells count="10">
    <mergeCell ref="A2:G2"/>
    <mergeCell ref="B4:D4"/>
    <mergeCell ref="E4:G4"/>
    <mergeCell ref="A4:A6"/>
    <mergeCell ref="B5:B6"/>
    <mergeCell ref="C5:C6"/>
    <mergeCell ref="D5:D6"/>
    <mergeCell ref="E5:E6"/>
    <mergeCell ref="F5:F6"/>
    <mergeCell ref="G5:G6"/>
  </mergeCells>
  <printOptions horizontalCentered="1"/>
  <pageMargins left="0.354166666666667" right="0.118055555555556" top="0.747916666666667" bottom="0.747916666666667" header="0.314583333333333" footer="0.314583333333333"/>
  <pageSetup paperSize="9" firstPageNumber="16" fitToWidth="0" orientation="portrait" useFirstPageNumber="1" horizontalDpi="600" verticalDpi="600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showZeros="0" topLeftCell="A21" workbookViewId="0">
      <selection activeCell="E47" sqref="E47"/>
    </sheetView>
  </sheetViews>
  <sheetFormatPr defaultColWidth="9" defaultRowHeight="13.5"/>
  <cols>
    <col min="1" max="1" width="31.25" style="84" customWidth="1"/>
    <col min="2" max="4" width="9" style="85" customWidth="1"/>
    <col min="5" max="5" width="10.75" style="85" customWidth="1"/>
    <col min="6" max="6" width="10.25" style="86" customWidth="1"/>
    <col min="7" max="7" width="9" style="85" customWidth="1"/>
    <col min="8" max="9" width="13.75" style="84"/>
    <col min="10" max="11" width="9" style="84"/>
    <col min="12" max="12" width="12.625" style="84"/>
    <col min="13" max="16384" width="9" style="84"/>
  </cols>
  <sheetData>
    <row r="1" ht="21" customHeight="1" spans="1:1">
      <c r="A1" s="84" t="s">
        <v>79</v>
      </c>
    </row>
    <row r="2" ht="33.75" customHeight="1" spans="1:7">
      <c r="A2" s="87" t="s">
        <v>80</v>
      </c>
      <c r="B2" s="87"/>
      <c r="C2" s="87"/>
      <c r="D2" s="87"/>
      <c r="E2" s="87"/>
      <c r="F2" s="88"/>
      <c r="G2" s="87"/>
    </row>
    <row r="3" ht="21" customHeight="1" spans="5:7">
      <c r="E3" s="89"/>
      <c r="G3" s="90" t="s">
        <v>2</v>
      </c>
    </row>
    <row r="4" ht="22" customHeight="1" spans="1:7">
      <c r="A4" s="91" t="s">
        <v>3</v>
      </c>
      <c r="B4" s="92" t="s">
        <v>81</v>
      </c>
      <c r="C4" s="93"/>
      <c r="D4" s="94"/>
      <c r="E4" s="91" t="s">
        <v>5</v>
      </c>
      <c r="F4" s="95"/>
      <c r="G4" s="91"/>
    </row>
    <row r="5" ht="14.25" customHeight="1" spans="1:7">
      <c r="A5" s="91"/>
      <c r="B5" s="96" t="s">
        <v>6</v>
      </c>
      <c r="C5" s="96" t="s">
        <v>7</v>
      </c>
      <c r="D5" s="96" t="s">
        <v>8</v>
      </c>
      <c r="E5" s="96" t="s">
        <v>6</v>
      </c>
      <c r="F5" s="97" t="s">
        <v>7</v>
      </c>
      <c r="G5" s="96" t="s">
        <v>8</v>
      </c>
    </row>
    <row r="6" ht="14.25" customHeight="1" spans="1:7">
      <c r="A6" s="91"/>
      <c r="B6" s="98"/>
      <c r="C6" s="98"/>
      <c r="D6" s="98"/>
      <c r="E6" s="98"/>
      <c r="F6" s="99"/>
      <c r="G6" s="98"/>
    </row>
    <row r="7" ht="31" customHeight="1" spans="1:10">
      <c r="A7" s="100" t="s">
        <v>82</v>
      </c>
      <c r="B7" s="53">
        <f>C7+D7</f>
        <v>706998</v>
      </c>
      <c r="C7" s="53">
        <f>C8+C14+C18+C20+C23+C25</f>
        <v>372534</v>
      </c>
      <c r="D7" s="53">
        <f>D8+D14+D23+D25</f>
        <v>334464</v>
      </c>
      <c r="E7" s="53">
        <f>F7+G7</f>
        <v>436966.6</v>
      </c>
      <c r="F7" s="53">
        <f>F8+F14+F18+F20+F23+F25</f>
        <v>286966.6</v>
      </c>
      <c r="G7" s="53">
        <f>G8+G23+G25</f>
        <v>150000</v>
      </c>
      <c r="H7" s="101"/>
      <c r="I7" s="101"/>
      <c r="J7" s="104"/>
    </row>
    <row r="8" ht="31" customHeight="1" spans="1:9">
      <c r="A8" s="102" t="s">
        <v>83</v>
      </c>
      <c r="B8" s="53">
        <f t="shared" ref="B8:B24" si="0">C8+D8</f>
        <v>223494</v>
      </c>
      <c r="C8" s="53">
        <f>SUM(C9:C13)</f>
        <v>83552</v>
      </c>
      <c r="D8" s="53">
        <f>SUM(D9:D13)</f>
        <v>139942</v>
      </c>
      <c r="E8" s="53">
        <f t="shared" ref="E7:E24" si="1">F8+G8</f>
        <v>384976.6</v>
      </c>
      <c r="F8" s="53">
        <f>SUM(F9:F13)</f>
        <v>251126.6</v>
      </c>
      <c r="G8" s="53">
        <f>G9</f>
        <v>133850</v>
      </c>
      <c r="H8" s="101"/>
      <c r="I8" s="101"/>
    </row>
    <row r="9" ht="31" customHeight="1" spans="1:9">
      <c r="A9" s="103" t="s">
        <v>84</v>
      </c>
      <c r="B9" s="53">
        <f t="shared" si="0"/>
        <v>216594</v>
      </c>
      <c r="C9" s="53">
        <f>77155-503</f>
        <v>76652</v>
      </c>
      <c r="D9" s="53">
        <v>139942</v>
      </c>
      <c r="E9" s="53">
        <f t="shared" si="1"/>
        <v>377476.6</v>
      </c>
      <c r="F9" s="53">
        <f>-160+243786.6</f>
        <v>243626.6</v>
      </c>
      <c r="G9" s="53">
        <v>133850</v>
      </c>
      <c r="H9" s="101"/>
      <c r="I9" s="101"/>
    </row>
    <row r="10" ht="31" customHeight="1" spans="1:9">
      <c r="A10" s="103" t="s">
        <v>85</v>
      </c>
      <c r="B10" s="53">
        <f t="shared" si="0"/>
        <v>0</v>
      </c>
      <c r="C10" s="53"/>
      <c r="D10" s="53"/>
      <c r="E10" s="53">
        <f t="shared" si="1"/>
        <v>0</v>
      </c>
      <c r="F10" s="53"/>
      <c r="G10" s="53"/>
      <c r="H10" s="101"/>
      <c r="I10" s="101"/>
    </row>
    <row r="11" ht="31" customHeight="1" spans="1:9">
      <c r="A11" s="103" t="s">
        <v>86</v>
      </c>
      <c r="B11" s="53">
        <f t="shared" si="0"/>
        <v>0</v>
      </c>
      <c r="C11" s="53"/>
      <c r="D11" s="53"/>
      <c r="E11" s="53">
        <f t="shared" si="1"/>
        <v>0</v>
      </c>
      <c r="F11" s="53"/>
      <c r="G11" s="53"/>
      <c r="H11" s="101"/>
      <c r="I11" s="101"/>
    </row>
    <row r="12" ht="31" customHeight="1" spans="1:9">
      <c r="A12" s="103" t="s">
        <v>87</v>
      </c>
      <c r="B12" s="53">
        <f t="shared" si="0"/>
        <v>1800</v>
      </c>
      <c r="C12" s="53">
        <v>1800</v>
      </c>
      <c r="D12" s="53"/>
      <c r="E12" s="53">
        <f t="shared" si="1"/>
        <v>1000</v>
      </c>
      <c r="F12" s="53">
        <v>1000</v>
      </c>
      <c r="G12" s="53"/>
      <c r="H12" s="101"/>
      <c r="I12" s="101"/>
    </row>
    <row r="13" ht="31" customHeight="1" spans="1:9">
      <c r="A13" s="103" t="s">
        <v>88</v>
      </c>
      <c r="B13" s="53">
        <f t="shared" si="0"/>
        <v>5100</v>
      </c>
      <c r="C13" s="53">
        <v>5100</v>
      </c>
      <c r="D13" s="53"/>
      <c r="E13" s="53">
        <f t="shared" si="1"/>
        <v>6500</v>
      </c>
      <c r="F13" s="53">
        <v>6500</v>
      </c>
      <c r="G13" s="53"/>
      <c r="H13" s="101"/>
      <c r="I13" s="101"/>
    </row>
    <row r="14" ht="31" customHeight="1" spans="1:9">
      <c r="A14" s="102" t="s">
        <v>89</v>
      </c>
      <c r="B14" s="53">
        <f t="shared" si="0"/>
        <v>451748</v>
      </c>
      <c r="C14" s="53">
        <f>SUM(C15:C16)</f>
        <v>265300</v>
      </c>
      <c r="D14" s="53">
        <f>SUM(D15:D16)</f>
        <v>186448</v>
      </c>
      <c r="E14" s="53">
        <f t="shared" si="1"/>
        <v>2500</v>
      </c>
      <c r="F14" s="53">
        <f>SUM(F15:F16)</f>
        <v>2500</v>
      </c>
      <c r="G14" s="53"/>
      <c r="H14" s="101"/>
      <c r="I14" s="101"/>
    </row>
    <row r="15" ht="31" customHeight="1" spans="1:9">
      <c r="A15" s="103" t="s">
        <v>90</v>
      </c>
      <c r="B15" s="53">
        <f t="shared" si="0"/>
        <v>4200</v>
      </c>
      <c r="C15" s="53">
        <v>4200</v>
      </c>
      <c r="D15" s="53"/>
      <c r="E15" s="53">
        <f t="shared" si="1"/>
        <v>2500</v>
      </c>
      <c r="F15" s="53">
        <v>2500</v>
      </c>
      <c r="G15" s="53"/>
      <c r="H15" s="101"/>
      <c r="I15" s="101"/>
    </row>
    <row r="16" ht="31" customHeight="1" spans="1:9">
      <c r="A16" s="103" t="s">
        <v>91</v>
      </c>
      <c r="B16" s="53">
        <f t="shared" si="0"/>
        <v>447548</v>
      </c>
      <c r="C16" s="53">
        <v>261100</v>
      </c>
      <c r="D16" s="53">
        <v>186448</v>
      </c>
      <c r="E16" s="53">
        <f t="shared" si="1"/>
        <v>0</v>
      </c>
      <c r="F16" s="53"/>
      <c r="G16" s="53"/>
      <c r="H16" s="101"/>
      <c r="I16" s="101"/>
    </row>
    <row r="17" ht="31" customHeight="1" spans="1:9">
      <c r="A17" s="103" t="s">
        <v>92</v>
      </c>
      <c r="B17" s="53">
        <f t="shared" si="0"/>
        <v>6000</v>
      </c>
      <c r="C17" s="53">
        <v>6000</v>
      </c>
      <c r="D17" s="53"/>
      <c r="E17" s="53"/>
      <c r="F17" s="53"/>
      <c r="G17" s="53"/>
      <c r="H17" s="101"/>
      <c r="I17" s="101"/>
    </row>
    <row r="18" ht="31" customHeight="1" spans="1:9">
      <c r="A18" s="103" t="s">
        <v>93</v>
      </c>
      <c r="B18" s="53">
        <f t="shared" si="0"/>
        <v>0</v>
      </c>
      <c r="C18" s="53">
        <f>C19</f>
        <v>0</v>
      </c>
      <c r="D18" s="53"/>
      <c r="E18" s="53">
        <f>F18+G18</f>
        <v>0</v>
      </c>
      <c r="F18" s="53">
        <f>F19</f>
        <v>0</v>
      </c>
      <c r="G18" s="53"/>
      <c r="H18" s="101"/>
      <c r="I18" s="101"/>
    </row>
    <row r="19" ht="31" customHeight="1" spans="1:9">
      <c r="A19" s="103" t="s">
        <v>94</v>
      </c>
      <c r="B19" s="53">
        <f t="shared" si="0"/>
        <v>0</v>
      </c>
      <c r="C19" s="53"/>
      <c r="D19" s="53"/>
      <c r="E19" s="53">
        <f>F19+G19</f>
        <v>0</v>
      </c>
      <c r="F19" s="53"/>
      <c r="G19" s="53"/>
      <c r="H19" s="101"/>
      <c r="I19" s="101"/>
    </row>
    <row r="20" ht="31" customHeight="1" spans="1:9">
      <c r="A20" s="103" t="s">
        <v>95</v>
      </c>
      <c r="B20" s="53">
        <f t="shared" si="0"/>
        <v>0</v>
      </c>
      <c r="C20" s="53">
        <f>C21+C22</f>
        <v>0</v>
      </c>
      <c r="D20" s="53"/>
      <c r="E20" s="53">
        <f>F20+G20</f>
        <v>0</v>
      </c>
      <c r="F20" s="53">
        <f>F21</f>
        <v>0</v>
      </c>
      <c r="G20" s="53"/>
      <c r="H20" s="101"/>
      <c r="I20" s="101"/>
    </row>
    <row r="21" ht="31" customHeight="1" spans="1:9">
      <c r="A21" s="103" t="s">
        <v>96</v>
      </c>
      <c r="B21" s="53">
        <f t="shared" si="0"/>
        <v>-50</v>
      </c>
      <c r="C21" s="53">
        <f>N20-C22</f>
        <v>-50</v>
      </c>
      <c r="D21" s="53"/>
      <c r="E21" s="53">
        <f>F21+G21</f>
        <v>0</v>
      </c>
      <c r="F21" s="53"/>
      <c r="G21" s="53"/>
      <c r="H21" s="101"/>
      <c r="I21" s="101"/>
    </row>
    <row r="22" ht="31" customHeight="1" spans="1:9">
      <c r="A22" s="103" t="s">
        <v>97</v>
      </c>
      <c r="B22" s="53"/>
      <c r="C22" s="53">
        <v>50</v>
      </c>
      <c r="D22" s="53"/>
      <c r="E22" s="53"/>
      <c r="F22" s="53"/>
      <c r="G22" s="53"/>
      <c r="H22" s="101"/>
      <c r="I22" s="101"/>
    </row>
    <row r="23" ht="31" customHeight="1" spans="1:9">
      <c r="A23" s="102" t="s">
        <v>98</v>
      </c>
      <c r="B23" s="53">
        <f>C23+D23</f>
        <v>31197</v>
      </c>
      <c r="C23" s="53">
        <f t="shared" ref="C23:G23" si="2">C24</f>
        <v>23423</v>
      </c>
      <c r="D23" s="53">
        <f t="shared" si="2"/>
        <v>7774</v>
      </c>
      <c r="E23" s="53">
        <f>F23+G23</f>
        <v>48950</v>
      </c>
      <c r="F23" s="53">
        <f t="shared" si="2"/>
        <v>33000</v>
      </c>
      <c r="G23" s="53">
        <f t="shared" si="2"/>
        <v>15950</v>
      </c>
      <c r="H23" s="101"/>
      <c r="I23" s="101"/>
    </row>
    <row r="24" ht="31" customHeight="1" spans="1:9">
      <c r="A24" s="102" t="s">
        <v>99</v>
      </c>
      <c r="B24" s="53">
        <f>C24+D24</f>
        <v>31197</v>
      </c>
      <c r="C24" s="53">
        <v>23423</v>
      </c>
      <c r="D24" s="53">
        <v>7774</v>
      </c>
      <c r="E24" s="53">
        <f>F24+G24</f>
        <v>48950</v>
      </c>
      <c r="F24" s="53">
        <v>33000</v>
      </c>
      <c r="G24" s="53">
        <v>15950</v>
      </c>
      <c r="H24" s="101"/>
      <c r="I24" s="101"/>
    </row>
    <row r="25" ht="31" customHeight="1" spans="1:9">
      <c r="A25" s="102" t="s">
        <v>100</v>
      </c>
      <c r="B25" s="53">
        <f>C25+D25</f>
        <v>559</v>
      </c>
      <c r="C25" s="53">
        <f t="shared" ref="C25:G25" si="3">C26</f>
        <v>259</v>
      </c>
      <c r="D25" s="53">
        <f t="shared" si="3"/>
        <v>300</v>
      </c>
      <c r="E25" s="53">
        <f>F25+G25</f>
        <v>540</v>
      </c>
      <c r="F25" s="53">
        <f t="shared" si="3"/>
        <v>340</v>
      </c>
      <c r="G25" s="53">
        <f t="shared" si="3"/>
        <v>200</v>
      </c>
      <c r="H25" s="101"/>
      <c r="I25" s="101"/>
    </row>
    <row r="26" ht="28.5" spans="1:9">
      <c r="A26" s="102" t="s">
        <v>101</v>
      </c>
      <c r="B26" s="53">
        <f>C26+D26</f>
        <v>559</v>
      </c>
      <c r="C26" s="53">
        <v>259</v>
      </c>
      <c r="D26" s="53">
        <v>300</v>
      </c>
      <c r="E26" s="53">
        <f>F26+G26</f>
        <v>540</v>
      </c>
      <c r="F26" s="53">
        <v>340</v>
      </c>
      <c r="G26" s="53">
        <v>200</v>
      </c>
      <c r="H26" s="101"/>
      <c r="I26" s="101"/>
    </row>
  </sheetData>
  <mergeCells count="10">
    <mergeCell ref="A2:G2"/>
    <mergeCell ref="B4:D4"/>
    <mergeCell ref="E4:G4"/>
    <mergeCell ref="A4:A6"/>
    <mergeCell ref="B5:B6"/>
    <mergeCell ref="C5:C6"/>
    <mergeCell ref="D5:D6"/>
    <mergeCell ref="E5:E6"/>
    <mergeCell ref="F5:F6"/>
    <mergeCell ref="G5:G6"/>
  </mergeCells>
  <pageMargins left="0.751388888888889" right="0.751388888888889" top="1" bottom="1" header="0.5" footer="0.5"/>
  <pageSetup paperSize="9" scale="94" firstPageNumber="17" orientation="portrait" useFirstPageNumber="1" horizontalDpi="600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N16374"/>
  <sheetViews>
    <sheetView showZeros="0" topLeftCell="A11" workbookViewId="0">
      <selection activeCell="A1" sqref="A1"/>
    </sheetView>
  </sheetViews>
  <sheetFormatPr defaultColWidth="9" defaultRowHeight="13.5"/>
  <cols>
    <col min="1" max="1" width="6" style="66" customWidth="1"/>
    <col min="2" max="2" width="22.625" style="66" customWidth="1"/>
    <col min="3" max="3" width="10.875" style="66" customWidth="1"/>
    <col min="4" max="4" width="10.375" style="67" customWidth="1"/>
    <col min="5" max="5" width="7.375" style="66" customWidth="1"/>
    <col min="6" max="6" width="10.875" style="66" customWidth="1"/>
    <col min="7" max="7" width="11.875" style="66" customWidth="1"/>
    <col min="8" max="8" width="12" style="66" customWidth="1"/>
    <col min="9" max="12" width="10.875" style="66" customWidth="1"/>
    <col min="13" max="13" width="10.375" style="66" customWidth="1"/>
    <col min="14" max="14" width="7.375" style="66" customWidth="1"/>
    <col min="15" max="16384" width="9" style="66"/>
  </cols>
  <sheetData>
    <row r="1" ht="14.25" spans="1:14">
      <c r="A1" s="68" t="s">
        <v>102</v>
      </c>
      <c r="B1" s="69"/>
      <c r="C1" s="69"/>
      <c r="D1" s="70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2.5" spans="1:14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4.25" spans="1:12">
      <c r="A3" s="68"/>
      <c r="B3" s="69"/>
      <c r="C3" s="69"/>
      <c r="D3" s="70"/>
      <c r="E3" s="71"/>
      <c r="F3" s="71"/>
      <c r="G3" s="71"/>
      <c r="H3" s="71"/>
      <c r="I3" s="71"/>
      <c r="J3" s="71"/>
      <c r="K3" s="71"/>
      <c r="L3" s="66" t="s">
        <v>2</v>
      </c>
    </row>
    <row r="4" ht="46" customHeight="1" spans="1:14">
      <c r="A4" s="73" t="s">
        <v>104</v>
      </c>
      <c r="B4" s="73" t="s">
        <v>3</v>
      </c>
      <c r="C4" s="74" t="s">
        <v>105</v>
      </c>
      <c r="D4" s="75"/>
      <c r="E4" s="76"/>
      <c r="F4" s="74" t="s">
        <v>106</v>
      </c>
      <c r="G4" s="75"/>
      <c r="H4" s="76"/>
      <c r="I4" s="74" t="s">
        <v>107</v>
      </c>
      <c r="J4" s="75"/>
      <c r="K4" s="76"/>
      <c r="L4" s="74" t="s">
        <v>108</v>
      </c>
      <c r="M4" s="75"/>
      <c r="N4" s="76"/>
    </row>
    <row r="5" ht="42" customHeight="1" spans="1:14">
      <c r="A5" s="77"/>
      <c r="B5" s="77"/>
      <c r="C5" s="77" t="s">
        <v>6</v>
      </c>
      <c r="D5" s="77" t="s">
        <v>7</v>
      </c>
      <c r="E5" s="77" t="s">
        <v>8</v>
      </c>
      <c r="F5" s="77" t="s">
        <v>6</v>
      </c>
      <c r="G5" s="77" t="s">
        <v>7</v>
      </c>
      <c r="H5" s="77" t="s">
        <v>8</v>
      </c>
      <c r="I5" s="77" t="s">
        <v>6</v>
      </c>
      <c r="J5" s="77" t="s">
        <v>7</v>
      </c>
      <c r="K5" s="77" t="s">
        <v>8</v>
      </c>
      <c r="L5" s="77" t="s">
        <v>6</v>
      </c>
      <c r="M5" s="77" t="s">
        <v>7</v>
      </c>
      <c r="N5" s="77" t="s">
        <v>8</v>
      </c>
    </row>
    <row r="6" s="66" customFormat="1" ht="78" customHeight="1" spans="1:14">
      <c r="A6" s="78">
        <v>1</v>
      </c>
      <c r="B6" s="79" t="s">
        <v>109</v>
      </c>
      <c r="C6" s="80">
        <v>55432</v>
      </c>
      <c r="D6" s="80">
        <v>55432</v>
      </c>
      <c r="E6" s="81">
        <v>0</v>
      </c>
      <c r="F6" s="81">
        <f>G6+H6</f>
        <v>42924</v>
      </c>
      <c r="G6" s="81">
        <v>42924</v>
      </c>
      <c r="H6" s="81">
        <v>0</v>
      </c>
      <c r="I6" s="81">
        <f>J6+K6</f>
        <v>42924</v>
      </c>
      <c r="J6" s="81">
        <v>42924</v>
      </c>
      <c r="K6" s="81">
        <v>0</v>
      </c>
      <c r="L6" s="81">
        <f>M6+N6</f>
        <v>55432</v>
      </c>
      <c r="M6" s="81">
        <v>55432</v>
      </c>
      <c r="N6" s="81">
        <v>0</v>
      </c>
    </row>
    <row r="7" s="66" customFormat="1" ht="131" customHeight="1" spans="1:14">
      <c r="A7" s="78">
        <v>2</v>
      </c>
      <c r="B7" s="79" t="s">
        <v>110</v>
      </c>
      <c r="C7" s="80">
        <v>64329</v>
      </c>
      <c r="D7" s="80">
        <v>64329</v>
      </c>
      <c r="E7" s="81">
        <v>0</v>
      </c>
      <c r="F7" s="81">
        <f>G7+H7</f>
        <v>44604.27</v>
      </c>
      <c r="G7" s="81">
        <f>53401.51-9938-3989</f>
        <v>39474.51</v>
      </c>
      <c r="H7" s="81">
        <v>5129.76</v>
      </c>
      <c r="I7" s="81">
        <f>J7+K7</f>
        <v>44604.27</v>
      </c>
      <c r="J7" s="81">
        <v>39474.51</v>
      </c>
      <c r="K7" s="81">
        <v>5129.76</v>
      </c>
      <c r="L7" s="80">
        <v>64329</v>
      </c>
      <c r="M7" s="80">
        <v>64329</v>
      </c>
      <c r="N7" s="81">
        <v>0</v>
      </c>
    </row>
    <row r="8" ht="57" customHeight="1" spans="1:14">
      <c r="A8" s="78"/>
      <c r="B8" s="73" t="s">
        <v>111</v>
      </c>
      <c r="C8" s="82">
        <f>SUM(C6:C7)</f>
        <v>119761</v>
      </c>
      <c r="D8" s="82">
        <f t="shared" ref="D8:M8" si="0">SUM(D6:D7)</f>
        <v>119761</v>
      </c>
      <c r="E8" s="82">
        <f t="shared" si="0"/>
        <v>0</v>
      </c>
      <c r="F8" s="82">
        <f t="shared" si="0"/>
        <v>87528.27</v>
      </c>
      <c r="G8" s="82">
        <f t="shared" si="0"/>
        <v>82398.51</v>
      </c>
      <c r="H8" s="82">
        <f t="shared" si="0"/>
        <v>5129.76</v>
      </c>
      <c r="I8" s="82">
        <f t="shared" si="0"/>
        <v>87528.27</v>
      </c>
      <c r="J8" s="82">
        <f t="shared" si="0"/>
        <v>82398.51</v>
      </c>
      <c r="K8" s="82">
        <f t="shared" si="0"/>
        <v>5129.76</v>
      </c>
      <c r="L8" s="82">
        <f t="shared" si="0"/>
        <v>119761</v>
      </c>
      <c r="M8" s="82">
        <f t="shared" si="0"/>
        <v>119761</v>
      </c>
      <c r="N8" s="82">
        <v>0</v>
      </c>
    </row>
    <row r="9" customFormat="1"/>
    <row r="10" customFormat="1"/>
    <row r="11" customFormat="1"/>
    <row r="12" customFormat="1" spans="6:6">
      <c r="F12" s="83"/>
    </row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</sheetData>
  <mergeCells count="5">
    <mergeCell ref="A2:N2"/>
    <mergeCell ref="C4:E4"/>
    <mergeCell ref="F4:H4"/>
    <mergeCell ref="I4:K4"/>
    <mergeCell ref="L4:N4"/>
  </mergeCells>
  <printOptions horizontalCentered="1"/>
  <pageMargins left="0.118055555555556" right="0.118055555555556" top="0.747916666666667" bottom="0.747916666666667" header="0.314583333333333" footer="0.314583333333333"/>
  <pageSetup paperSize="9" scale="67" firstPageNumber="18" orientation="portrait" useFirstPageNumber="1" horizontalDpi="600" verticalDpi="600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H69"/>
  <sheetViews>
    <sheetView topLeftCell="A49" workbookViewId="0">
      <selection activeCell="A1" sqref="A1"/>
    </sheetView>
  </sheetViews>
  <sheetFormatPr defaultColWidth="9" defaultRowHeight="24.75" customHeight="1" outlineLevelCol="7"/>
  <cols>
    <col min="1" max="1" width="6.25" style="35" customWidth="1"/>
    <col min="2" max="2" width="12.625" style="35" hidden="1" customWidth="1"/>
    <col min="3" max="3" width="8.625" style="35" hidden="1" customWidth="1"/>
    <col min="4" max="4" width="38.75" style="36" customWidth="1"/>
    <col min="5" max="5" width="16.5" style="36" customWidth="1"/>
    <col min="6" max="6" width="14.875" style="36" customWidth="1"/>
    <col min="7" max="7" width="12.5" style="36" customWidth="1"/>
    <col min="8" max="8" width="8.75" style="37" hidden="1" customWidth="1"/>
    <col min="9" max="9" width="10.375" style="36"/>
    <col min="10" max="16380" width="9" style="36"/>
  </cols>
  <sheetData>
    <row r="1" ht="17" customHeight="1" spans="1:1">
      <c r="A1" s="38" t="s">
        <v>112</v>
      </c>
    </row>
    <row r="2" ht="24" spans="1:8">
      <c r="A2" s="39" t="s">
        <v>113</v>
      </c>
      <c r="B2" s="39"/>
      <c r="C2" s="39"/>
      <c r="D2" s="39"/>
      <c r="E2" s="39"/>
      <c r="F2" s="39"/>
      <c r="G2" s="39"/>
      <c r="H2" s="39"/>
    </row>
    <row r="3" ht="15.75" spans="1:8">
      <c r="A3" s="40"/>
      <c r="B3" s="40"/>
      <c r="C3" s="40"/>
      <c r="D3" s="41"/>
      <c r="E3" s="41"/>
      <c r="F3" s="41"/>
      <c r="G3" s="42" t="s">
        <v>2</v>
      </c>
      <c r="H3" s="43" t="s">
        <v>2</v>
      </c>
    </row>
    <row r="4" ht="15.75" customHeight="1" spans="1:8">
      <c r="A4" s="44" t="s">
        <v>104</v>
      </c>
      <c r="B4" s="45" t="s">
        <v>114</v>
      </c>
      <c r="C4" s="45" t="s">
        <v>115</v>
      </c>
      <c r="D4" s="44" t="s">
        <v>116</v>
      </c>
      <c r="E4" s="46" t="s">
        <v>117</v>
      </c>
      <c r="F4" s="47"/>
      <c r="G4" s="48"/>
      <c r="H4" s="44" t="s">
        <v>118</v>
      </c>
    </row>
    <row r="5" ht="14.25" spans="1:8">
      <c r="A5" s="49"/>
      <c r="B5" s="50"/>
      <c r="C5" s="50"/>
      <c r="D5" s="49"/>
      <c r="E5" s="51" t="s">
        <v>6</v>
      </c>
      <c r="F5" s="51" t="s">
        <v>7</v>
      </c>
      <c r="G5" s="51" t="s">
        <v>8</v>
      </c>
      <c r="H5" s="49"/>
    </row>
    <row r="6" ht="21" customHeight="1" spans="1:8">
      <c r="A6" s="49">
        <v>1</v>
      </c>
      <c r="B6" s="50"/>
      <c r="C6" s="50"/>
      <c r="D6" s="52" t="s">
        <v>119</v>
      </c>
      <c r="E6" s="53">
        <f t="shared" ref="E6:E37" si="0">F6+G6</f>
        <v>346987.565924</v>
      </c>
      <c r="F6" s="53">
        <f>F7+F19+F23</f>
        <v>300054.395924</v>
      </c>
      <c r="G6" s="53">
        <f>G7+G19+G23</f>
        <v>46933.17</v>
      </c>
      <c r="H6" s="49"/>
    </row>
    <row r="7" ht="15.75" spans="1:8">
      <c r="A7" s="49">
        <v>2</v>
      </c>
      <c r="B7" s="54"/>
      <c r="C7" s="55"/>
      <c r="D7" s="56" t="s">
        <v>120</v>
      </c>
      <c r="E7" s="53">
        <f t="shared" si="0"/>
        <v>180247.370824</v>
      </c>
      <c r="F7" s="53">
        <f>F8+F12+F13+F14+F15+F16+F17+F18</f>
        <v>157554.900824</v>
      </c>
      <c r="G7" s="53">
        <f>G8+G12+G13+G14+G15+G16+G17+G18</f>
        <v>22692.47</v>
      </c>
      <c r="H7" s="57"/>
    </row>
    <row r="8" ht="15.75" spans="1:8">
      <c r="A8" s="49">
        <v>3</v>
      </c>
      <c r="B8" s="54"/>
      <c r="C8" s="55"/>
      <c r="D8" s="58" t="s">
        <v>121</v>
      </c>
      <c r="E8" s="53">
        <f t="shared" si="0"/>
        <v>56513.85</v>
      </c>
      <c r="F8" s="53">
        <f>F9+F10+F11</f>
        <v>48356.25</v>
      </c>
      <c r="G8" s="53">
        <f>G9+G10+G11</f>
        <v>8157.6</v>
      </c>
      <c r="H8" s="57"/>
    </row>
    <row r="9" ht="15.75" spans="1:8">
      <c r="A9" s="49">
        <v>4</v>
      </c>
      <c r="B9" s="54"/>
      <c r="C9" s="55"/>
      <c r="D9" s="58" t="s">
        <v>122</v>
      </c>
      <c r="E9" s="53">
        <f t="shared" si="0"/>
        <v>2671.97</v>
      </c>
      <c r="F9" s="53">
        <v>2671.97</v>
      </c>
      <c r="G9" s="59"/>
      <c r="H9" s="57"/>
    </row>
    <row r="10" ht="15.75" spans="1:8">
      <c r="A10" s="49">
        <v>5</v>
      </c>
      <c r="B10" s="54"/>
      <c r="C10" s="55"/>
      <c r="D10" s="58" t="s">
        <v>123</v>
      </c>
      <c r="E10" s="53">
        <f t="shared" si="0"/>
        <v>7810.31</v>
      </c>
      <c r="F10" s="53">
        <v>7118.31</v>
      </c>
      <c r="G10" s="53">
        <v>692</v>
      </c>
      <c r="H10" s="57"/>
    </row>
    <row r="11" ht="15.75" spans="1:8">
      <c r="A11" s="49">
        <v>6</v>
      </c>
      <c r="B11" s="54"/>
      <c r="C11" s="55"/>
      <c r="D11" s="58" t="s">
        <v>124</v>
      </c>
      <c r="E11" s="53">
        <f t="shared" si="0"/>
        <v>46031.57</v>
      </c>
      <c r="F11" s="53">
        <v>38565.97</v>
      </c>
      <c r="G11" s="53">
        <v>7465.6</v>
      </c>
      <c r="H11" s="57"/>
    </row>
    <row r="12" ht="15.75" spans="1:8">
      <c r="A12" s="49">
        <v>4</v>
      </c>
      <c r="B12" s="54"/>
      <c r="C12" s="55"/>
      <c r="D12" s="58" t="s">
        <v>125</v>
      </c>
      <c r="E12" s="53">
        <f t="shared" si="0"/>
        <v>795.91</v>
      </c>
      <c r="F12" s="53">
        <v>751.72</v>
      </c>
      <c r="G12" s="53">
        <v>44.19</v>
      </c>
      <c r="H12" s="57"/>
    </row>
    <row r="13" ht="15.75" spans="1:8">
      <c r="A13" s="49">
        <v>5</v>
      </c>
      <c r="B13" s="54"/>
      <c r="C13" s="55"/>
      <c r="D13" s="58" t="s">
        <v>126</v>
      </c>
      <c r="E13" s="53">
        <f t="shared" si="0"/>
        <v>6950.7238</v>
      </c>
      <c r="F13" s="53">
        <v>6353.7238</v>
      </c>
      <c r="G13" s="53">
        <v>597</v>
      </c>
      <c r="H13" s="57"/>
    </row>
    <row r="14" ht="15.75" spans="1:8">
      <c r="A14" s="49">
        <v>6</v>
      </c>
      <c r="B14" s="54"/>
      <c r="C14" s="55"/>
      <c r="D14" s="58" t="s">
        <v>127</v>
      </c>
      <c r="E14" s="53">
        <f t="shared" si="0"/>
        <v>9321.59</v>
      </c>
      <c r="F14" s="53">
        <v>8767.59</v>
      </c>
      <c r="G14" s="53">
        <v>554</v>
      </c>
      <c r="H14" s="57"/>
    </row>
    <row r="15" ht="15.75" spans="1:8">
      <c r="A15" s="49">
        <v>7</v>
      </c>
      <c r="B15" s="54"/>
      <c r="C15" s="55"/>
      <c r="D15" s="58" t="s">
        <v>128</v>
      </c>
      <c r="E15" s="53">
        <f t="shared" si="0"/>
        <v>19722.2436</v>
      </c>
      <c r="F15" s="53">
        <v>13417.6436</v>
      </c>
      <c r="G15" s="53">
        <v>6304.6</v>
      </c>
      <c r="H15" s="57"/>
    </row>
    <row r="16" ht="15.75" spans="1:8">
      <c r="A16" s="49">
        <v>8</v>
      </c>
      <c r="B16" s="54"/>
      <c r="C16" s="55"/>
      <c r="D16" s="58" t="s">
        <v>129</v>
      </c>
      <c r="E16" s="53">
        <f t="shared" si="0"/>
        <v>68681.367224</v>
      </c>
      <c r="F16" s="53">
        <v>61664.367224</v>
      </c>
      <c r="G16" s="53">
        <v>7017</v>
      </c>
      <c r="H16" s="57"/>
    </row>
    <row r="17" ht="15.75" spans="1:8">
      <c r="A17" s="49">
        <v>9</v>
      </c>
      <c r="B17" s="54"/>
      <c r="C17" s="55"/>
      <c r="D17" s="58" t="s">
        <v>130</v>
      </c>
      <c r="E17" s="53">
        <f t="shared" si="0"/>
        <v>18122.2062</v>
      </c>
      <c r="F17" s="53">
        <v>18121.1262</v>
      </c>
      <c r="G17" s="53">
        <v>1.08</v>
      </c>
      <c r="H17" s="57"/>
    </row>
    <row r="18" ht="15.75" spans="1:8">
      <c r="A18" s="49">
        <v>10</v>
      </c>
      <c r="B18" s="54"/>
      <c r="C18" s="55"/>
      <c r="D18" s="58" t="s">
        <v>131</v>
      </c>
      <c r="E18" s="53">
        <f t="shared" si="0"/>
        <v>139.48</v>
      </c>
      <c r="F18" s="53">
        <v>122.48</v>
      </c>
      <c r="G18" s="53">
        <v>17</v>
      </c>
      <c r="H18" s="57"/>
    </row>
    <row r="19" ht="15.75" spans="1:8">
      <c r="A19" s="49">
        <v>11</v>
      </c>
      <c r="B19" s="54"/>
      <c r="C19" s="55"/>
      <c r="D19" s="60" t="s">
        <v>132</v>
      </c>
      <c r="E19" s="53">
        <f t="shared" si="0"/>
        <v>5876.4</v>
      </c>
      <c r="F19" s="53">
        <f>F20+F21+F22</f>
        <v>4067.4</v>
      </c>
      <c r="G19" s="53">
        <f>G20+G21+G22</f>
        <v>1809</v>
      </c>
      <c r="H19" s="57"/>
    </row>
    <row r="20" ht="15.75" spans="1:8">
      <c r="A20" s="49">
        <v>12</v>
      </c>
      <c r="B20" s="54"/>
      <c r="C20" s="55"/>
      <c r="D20" s="58" t="s">
        <v>133</v>
      </c>
      <c r="E20" s="53">
        <f t="shared" si="0"/>
        <v>2385.6</v>
      </c>
      <c r="F20" s="53">
        <v>1129.6</v>
      </c>
      <c r="G20" s="53">
        <v>1256</v>
      </c>
      <c r="H20" s="57"/>
    </row>
    <row r="21" ht="15.75" spans="1:8">
      <c r="A21" s="49">
        <v>13</v>
      </c>
      <c r="B21" s="54"/>
      <c r="C21" s="55"/>
      <c r="D21" s="58" t="s">
        <v>134</v>
      </c>
      <c r="E21" s="53">
        <f t="shared" si="0"/>
        <v>1859.8</v>
      </c>
      <c r="F21" s="53">
        <v>1859.8</v>
      </c>
      <c r="G21" s="53"/>
      <c r="H21" s="57"/>
    </row>
    <row r="22" ht="15.75" spans="1:8">
      <c r="A22" s="49">
        <v>14</v>
      </c>
      <c r="B22" s="54"/>
      <c r="C22" s="55"/>
      <c r="D22" s="58" t="s">
        <v>135</v>
      </c>
      <c r="E22" s="53">
        <f t="shared" si="0"/>
        <v>1631</v>
      </c>
      <c r="F22" s="53">
        <v>1078</v>
      </c>
      <c r="G22" s="53">
        <v>553</v>
      </c>
      <c r="H22" s="57"/>
    </row>
    <row r="23" ht="15.75" spans="1:8">
      <c r="A23" s="49">
        <v>15</v>
      </c>
      <c r="B23" s="54"/>
      <c r="C23" s="55"/>
      <c r="D23" s="60" t="s">
        <v>136</v>
      </c>
      <c r="E23" s="53">
        <f t="shared" si="0"/>
        <v>160863.7951</v>
      </c>
      <c r="F23" s="53">
        <f>F24+F25+F28+F29+F30+F33+F36+F39+F40+F41+F47+F50+F51+F52+F53+F54+F55+F56+F57+F58+F59+F60+F63+F64+F65</f>
        <v>138432.0951</v>
      </c>
      <c r="G23" s="53">
        <f>G24+G25+G28+G29+G30+G33+G36+G39+G40+G41+G47+G50+G51+G52+G53+G54+G55+G56+G57+G58+G59+G60+G63+G64+G65</f>
        <v>22431.7</v>
      </c>
      <c r="H23" s="61"/>
    </row>
    <row r="24" ht="15.75" spans="1:8">
      <c r="A24" s="49">
        <v>16</v>
      </c>
      <c r="B24" s="54"/>
      <c r="C24" s="55"/>
      <c r="D24" s="58" t="s">
        <v>137</v>
      </c>
      <c r="E24" s="53">
        <f t="shared" si="0"/>
        <v>279.29</v>
      </c>
      <c r="F24" s="53">
        <v>268.39</v>
      </c>
      <c r="G24" s="53">
        <v>10.9</v>
      </c>
      <c r="H24" s="61"/>
    </row>
    <row r="25" ht="15.75" spans="1:8">
      <c r="A25" s="49">
        <v>17</v>
      </c>
      <c r="B25" s="54"/>
      <c r="C25" s="55"/>
      <c r="D25" s="58" t="s">
        <v>138</v>
      </c>
      <c r="E25" s="53">
        <f t="shared" si="0"/>
        <v>8231.3</v>
      </c>
      <c r="F25" s="53">
        <f>F26+F27</f>
        <v>6301.8</v>
      </c>
      <c r="G25" s="53">
        <f>G26+G27</f>
        <v>1929.5</v>
      </c>
      <c r="H25" s="61"/>
    </row>
    <row r="26" ht="15.75" spans="1:8">
      <c r="A26" s="49">
        <v>18</v>
      </c>
      <c r="B26" s="54"/>
      <c r="C26" s="55"/>
      <c r="D26" s="62" t="s">
        <v>139</v>
      </c>
      <c r="E26" s="53">
        <f t="shared" si="0"/>
        <v>5502.25</v>
      </c>
      <c r="F26" s="53">
        <v>4047.75</v>
      </c>
      <c r="G26" s="53">
        <v>1454.5</v>
      </c>
      <c r="H26" s="57"/>
    </row>
    <row r="27" ht="18" customHeight="1" spans="1:8">
      <c r="A27" s="49">
        <v>19</v>
      </c>
      <c r="B27" s="54"/>
      <c r="C27" s="55"/>
      <c r="D27" s="62" t="s">
        <v>140</v>
      </c>
      <c r="E27" s="53">
        <f t="shared" si="0"/>
        <v>2729.05</v>
      </c>
      <c r="F27" s="53">
        <v>2254.05</v>
      </c>
      <c r="G27" s="53">
        <v>475</v>
      </c>
      <c r="H27" s="57"/>
    </row>
    <row r="28" ht="28.5" spans="1:8">
      <c r="A28" s="49">
        <v>18</v>
      </c>
      <c r="B28" s="54"/>
      <c r="C28" s="55"/>
      <c r="D28" s="58" t="s">
        <v>141</v>
      </c>
      <c r="E28" s="53">
        <f t="shared" si="0"/>
        <v>303.43</v>
      </c>
      <c r="F28" s="53">
        <v>259.93</v>
      </c>
      <c r="G28" s="53">
        <v>43.5</v>
      </c>
      <c r="H28" s="57"/>
    </row>
    <row r="29" ht="15.75" spans="1:8">
      <c r="A29" s="49">
        <v>19</v>
      </c>
      <c r="B29" s="54"/>
      <c r="C29" s="55"/>
      <c r="D29" s="58" t="s">
        <v>142</v>
      </c>
      <c r="E29" s="53">
        <f t="shared" si="0"/>
        <v>50</v>
      </c>
      <c r="F29" s="53"/>
      <c r="G29" s="53">
        <v>50</v>
      </c>
      <c r="H29" s="57"/>
    </row>
    <row r="30" ht="15.75" spans="1:8">
      <c r="A30" s="49">
        <v>20</v>
      </c>
      <c r="B30" s="54"/>
      <c r="C30" s="55"/>
      <c r="D30" s="58" t="s">
        <v>143</v>
      </c>
      <c r="E30" s="53">
        <f t="shared" si="0"/>
        <v>386.32</v>
      </c>
      <c r="F30" s="53">
        <f>F31+F32</f>
        <v>350.62</v>
      </c>
      <c r="G30" s="53">
        <f>G31+G32</f>
        <v>35.7</v>
      </c>
      <c r="H30" s="57"/>
    </row>
    <row r="31" ht="15.75" spans="1:8">
      <c r="A31" s="49">
        <v>23</v>
      </c>
      <c r="B31" s="54"/>
      <c r="C31" s="55"/>
      <c r="D31" s="62" t="s">
        <v>139</v>
      </c>
      <c r="E31" s="53">
        <f t="shared" si="0"/>
        <v>162.06</v>
      </c>
      <c r="F31" s="53">
        <v>146.06</v>
      </c>
      <c r="G31" s="53">
        <v>16</v>
      </c>
      <c r="H31" s="57"/>
    </row>
    <row r="32" ht="15.75" spans="1:8">
      <c r="A32" s="49">
        <v>24</v>
      </c>
      <c r="B32" s="54"/>
      <c r="C32" s="55"/>
      <c r="D32" s="62" t="s">
        <v>140</v>
      </c>
      <c r="E32" s="53">
        <f t="shared" si="0"/>
        <v>224.26</v>
      </c>
      <c r="F32" s="53">
        <v>204.56</v>
      </c>
      <c r="G32" s="53">
        <v>19.7</v>
      </c>
      <c r="H32" s="57"/>
    </row>
    <row r="33" ht="15.75" spans="1:8">
      <c r="A33" s="49">
        <v>21</v>
      </c>
      <c r="B33" s="54"/>
      <c r="C33" s="55"/>
      <c r="D33" s="58" t="s">
        <v>144</v>
      </c>
      <c r="E33" s="53">
        <f t="shared" si="0"/>
        <v>391</v>
      </c>
      <c r="F33" s="53">
        <f>F34+F35</f>
        <v>82.4</v>
      </c>
      <c r="G33" s="53">
        <v>308.6</v>
      </c>
      <c r="H33" s="57"/>
    </row>
    <row r="34" ht="15.75" spans="1:8">
      <c r="A34" s="49">
        <v>26</v>
      </c>
      <c r="B34" s="54"/>
      <c r="C34" s="55"/>
      <c r="D34" s="62" t="s">
        <v>145</v>
      </c>
      <c r="E34" s="53">
        <f t="shared" si="0"/>
        <v>68.4</v>
      </c>
      <c r="F34" s="53">
        <v>57.4</v>
      </c>
      <c r="G34" s="53">
        <v>11</v>
      </c>
      <c r="H34" s="57"/>
    </row>
    <row r="35" ht="15.75" spans="1:8">
      <c r="A35" s="49">
        <v>27</v>
      </c>
      <c r="B35" s="54"/>
      <c r="C35" s="55"/>
      <c r="D35" s="62" t="s">
        <v>146</v>
      </c>
      <c r="E35" s="53">
        <f t="shared" si="0"/>
        <v>322.8</v>
      </c>
      <c r="F35" s="53">
        <v>25</v>
      </c>
      <c r="G35" s="53">
        <v>297.8</v>
      </c>
      <c r="H35" s="57"/>
    </row>
    <row r="36" ht="15.75" spans="1:8">
      <c r="A36" s="49">
        <v>22</v>
      </c>
      <c r="B36" s="54"/>
      <c r="C36" s="55"/>
      <c r="D36" s="58" t="s">
        <v>147</v>
      </c>
      <c r="E36" s="53">
        <f t="shared" si="0"/>
        <v>805.71</v>
      </c>
      <c r="F36" s="53">
        <f>F37+F38</f>
        <v>524.91</v>
      </c>
      <c r="G36" s="53">
        <f>G37+G38</f>
        <v>280.8</v>
      </c>
      <c r="H36" s="57"/>
    </row>
    <row r="37" ht="15.75" spans="1:8">
      <c r="A37" s="49">
        <v>29</v>
      </c>
      <c r="B37" s="54"/>
      <c r="C37" s="55"/>
      <c r="D37" s="62" t="s">
        <v>145</v>
      </c>
      <c r="E37" s="53">
        <f t="shared" si="0"/>
        <v>20.91</v>
      </c>
      <c r="F37" s="53">
        <v>14.91</v>
      </c>
      <c r="G37" s="53">
        <v>6</v>
      </c>
      <c r="H37" s="61"/>
    </row>
    <row r="38" ht="28.5" spans="1:8">
      <c r="A38" s="49">
        <v>30</v>
      </c>
      <c r="B38" s="54"/>
      <c r="C38" s="55"/>
      <c r="D38" s="62" t="s">
        <v>148</v>
      </c>
      <c r="E38" s="53">
        <f t="shared" ref="E38:E69" si="1">F38+G38</f>
        <v>784.8</v>
      </c>
      <c r="F38" s="53">
        <v>510</v>
      </c>
      <c r="G38" s="53">
        <v>274.8</v>
      </c>
      <c r="H38" s="61"/>
    </row>
    <row r="39" ht="15.75" spans="1:8">
      <c r="A39" s="49">
        <v>23</v>
      </c>
      <c r="B39" s="54"/>
      <c r="C39" s="55"/>
      <c r="D39" s="58" t="s">
        <v>149</v>
      </c>
      <c r="E39" s="53">
        <f t="shared" si="1"/>
        <v>77.05</v>
      </c>
      <c r="F39" s="53">
        <v>77.05</v>
      </c>
      <c r="G39" s="53"/>
      <c r="H39" s="61"/>
    </row>
    <row r="40" ht="42.75" spans="1:8">
      <c r="A40" s="49">
        <v>24</v>
      </c>
      <c r="B40" s="54"/>
      <c r="C40" s="55"/>
      <c r="D40" s="58" t="s">
        <v>150</v>
      </c>
      <c r="E40" s="53">
        <f t="shared" si="1"/>
        <v>330</v>
      </c>
      <c r="F40" s="53">
        <v>250</v>
      </c>
      <c r="G40" s="53">
        <v>80</v>
      </c>
      <c r="H40" s="61"/>
    </row>
    <row r="41" ht="15.75" spans="1:8">
      <c r="A41" s="49">
        <v>25</v>
      </c>
      <c r="B41" s="54"/>
      <c r="C41" s="55"/>
      <c r="D41" s="58" t="s">
        <v>151</v>
      </c>
      <c r="E41" s="53">
        <f t="shared" si="1"/>
        <v>14225.5501</v>
      </c>
      <c r="F41" s="53">
        <f>F42+F43+F44+F45+F46</f>
        <v>12448.8501</v>
      </c>
      <c r="G41" s="53">
        <f>G42+G43+G44+G45+G46</f>
        <v>1776.7</v>
      </c>
      <c r="H41" s="61"/>
    </row>
    <row r="42" ht="15.75" spans="1:8">
      <c r="A42" s="49">
        <v>34</v>
      </c>
      <c r="B42" s="54"/>
      <c r="C42" s="55"/>
      <c r="D42" s="62" t="s">
        <v>152</v>
      </c>
      <c r="E42" s="53">
        <f t="shared" si="1"/>
        <v>10279.9056</v>
      </c>
      <c r="F42" s="53">
        <v>9336.2056</v>
      </c>
      <c r="G42" s="53">
        <v>943.7</v>
      </c>
      <c r="H42" s="61"/>
    </row>
    <row r="43" ht="15.75" spans="1:8">
      <c r="A43" s="49">
        <v>35</v>
      </c>
      <c r="B43" s="54"/>
      <c r="C43" s="55"/>
      <c r="D43" s="62" t="s">
        <v>153</v>
      </c>
      <c r="E43" s="53">
        <f t="shared" si="1"/>
        <v>2696.6416</v>
      </c>
      <c r="F43" s="53">
        <v>2029.6416</v>
      </c>
      <c r="G43" s="53">
        <v>667</v>
      </c>
      <c r="H43" s="61"/>
    </row>
    <row r="44" ht="15.75" spans="1:8">
      <c r="A44" s="49">
        <v>36</v>
      </c>
      <c r="B44" s="54"/>
      <c r="C44" s="55"/>
      <c r="D44" s="62" t="s">
        <v>154</v>
      </c>
      <c r="E44" s="53">
        <f t="shared" si="1"/>
        <v>679.09</v>
      </c>
      <c r="F44" s="53">
        <v>594.09</v>
      </c>
      <c r="G44" s="53">
        <v>85</v>
      </c>
      <c r="H44" s="61"/>
    </row>
    <row r="45" ht="15.75" spans="1:8">
      <c r="A45" s="49">
        <v>37</v>
      </c>
      <c r="B45" s="54"/>
      <c r="C45" s="55"/>
      <c r="D45" s="62" t="s">
        <v>155</v>
      </c>
      <c r="E45" s="53">
        <f t="shared" si="1"/>
        <v>529.9129</v>
      </c>
      <c r="F45" s="53">
        <v>448.9129</v>
      </c>
      <c r="G45" s="53">
        <v>81</v>
      </c>
      <c r="H45" s="61"/>
    </row>
    <row r="46" ht="15.75" spans="1:8">
      <c r="A46" s="49">
        <v>38</v>
      </c>
      <c r="B46" s="54"/>
      <c r="C46" s="55"/>
      <c r="D46" s="58" t="s">
        <v>156</v>
      </c>
      <c r="E46" s="53">
        <f t="shared" si="1"/>
        <v>40</v>
      </c>
      <c r="F46" s="53">
        <v>40</v>
      </c>
      <c r="G46" s="53"/>
      <c r="H46" s="61"/>
    </row>
    <row r="47" ht="15.75" spans="1:8">
      <c r="A47" s="49">
        <v>26</v>
      </c>
      <c r="B47" s="54"/>
      <c r="C47" s="55"/>
      <c r="D47" s="58" t="s">
        <v>157</v>
      </c>
      <c r="E47" s="53">
        <f t="shared" si="1"/>
        <v>2226.99</v>
      </c>
      <c r="F47" s="53">
        <f>F48+F49</f>
        <v>2019.99</v>
      </c>
      <c r="G47" s="53">
        <f>G48+G49</f>
        <v>207</v>
      </c>
      <c r="H47" s="61"/>
    </row>
    <row r="48" ht="15.75" spans="1:8">
      <c r="A48" s="49">
        <v>40</v>
      </c>
      <c r="B48" s="54"/>
      <c r="C48" s="55"/>
      <c r="D48" s="62" t="s">
        <v>158</v>
      </c>
      <c r="E48" s="53">
        <f t="shared" si="1"/>
        <v>1329.87</v>
      </c>
      <c r="F48" s="53">
        <v>1216.87</v>
      </c>
      <c r="G48" s="53">
        <v>113</v>
      </c>
      <c r="H48" s="57"/>
    </row>
    <row r="49" ht="15.75" spans="1:8">
      <c r="A49" s="49">
        <v>41</v>
      </c>
      <c r="B49" s="54"/>
      <c r="C49" s="55"/>
      <c r="D49" s="62" t="s">
        <v>159</v>
      </c>
      <c r="E49" s="53">
        <f t="shared" si="1"/>
        <v>897.12</v>
      </c>
      <c r="F49" s="53">
        <v>803.12</v>
      </c>
      <c r="G49" s="53">
        <v>94</v>
      </c>
      <c r="H49" s="57"/>
    </row>
    <row r="50" ht="15.75" spans="1:8">
      <c r="A50" s="49">
        <v>27</v>
      </c>
      <c r="B50" s="54"/>
      <c r="C50" s="55"/>
      <c r="D50" s="58" t="s">
        <v>160</v>
      </c>
      <c r="E50" s="53">
        <f t="shared" si="1"/>
        <v>37143.25</v>
      </c>
      <c r="F50" s="53">
        <v>32543.25</v>
      </c>
      <c r="G50" s="53">
        <v>4600</v>
      </c>
      <c r="H50" s="57"/>
    </row>
    <row r="51" ht="15.75" spans="1:8">
      <c r="A51" s="49">
        <v>28</v>
      </c>
      <c r="B51" s="54"/>
      <c r="C51" s="55"/>
      <c r="D51" s="58" t="s">
        <v>161</v>
      </c>
      <c r="E51" s="53"/>
      <c r="F51" s="53">
        <v>370</v>
      </c>
      <c r="G51" s="53"/>
      <c r="H51" s="57"/>
    </row>
    <row r="52" ht="15.75" spans="1:8">
      <c r="A52" s="49">
        <v>29</v>
      </c>
      <c r="B52" s="54"/>
      <c r="C52" s="55"/>
      <c r="D52" s="58" t="s">
        <v>162</v>
      </c>
      <c r="E52" s="53">
        <f t="shared" si="1"/>
        <v>12845</v>
      </c>
      <c r="F52" s="53">
        <v>10845</v>
      </c>
      <c r="G52" s="53">
        <v>2000</v>
      </c>
      <c r="H52" s="57"/>
    </row>
    <row r="53" ht="15.75" spans="1:8">
      <c r="A53" s="49">
        <v>30</v>
      </c>
      <c r="B53" s="54"/>
      <c r="C53" s="55"/>
      <c r="D53" s="58" t="s">
        <v>163</v>
      </c>
      <c r="E53" s="53">
        <f t="shared" si="1"/>
        <v>2557.48</v>
      </c>
      <c r="F53" s="53">
        <v>2557.48</v>
      </c>
      <c r="G53" s="53"/>
      <c r="H53" s="57"/>
    </row>
    <row r="54" ht="15.75" spans="1:8">
      <c r="A54" s="49">
        <v>31</v>
      </c>
      <c r="B54" s="54"/>
      <c r="C54" s="55"/>
      <c r="D54" s="58" t="s">
        <v>164</v>
      </c>
      <c r="E54" s="53">
        <f t="shared" si="1"/>
        <v>108</v>
      </c>
      <c r="F54" s="53">
        <v>90</v>
      </c>
      <c r="G54" s="53">
        <v>18</v>
      </c>
      <c r="H54" s="61"/>
    </row>
    <row r="55" ht="15.75" spans="1:8">
      <c r="A55" s="49">
        <v>32</v>
      </c>
      <c r="B55" s="54"/>
      <c r="C55" s="55"/>
      <c r="D55" s="58" t="s">
        <v>165</v>
      </c>
      <c r="E55" s="53">
        <f t="shared" si="1"/>
        <v>2637.475</v>
      </c>
      <c r="F55" s="53">
        <v>2361.475</v>
      </c>
      <c r="G55" s="53">
        <v>276</v>
      </c>
      <c r="H55" s="61"/>
    </row>
    <row r="56" ht="15.75" spans="1:8">
      <c r="A56" s="49">
        <v>33</v>
      </c>
      <c r="B56" s="54"/>
      <c r="C56" s="55"/>
      <c r="D56" s="63" t="s">
        <v>166</v>
      </c>
      <c r="E56" s="53">
        <f t="shared" si="1"/>
        <v>4028</v>
      </c>
      <c r="F56" s="53">
        <v>3828</v>
      </c>
      <c r="G56" s="53">
        <v>200</v>
      </c>
      <c r="H56" s="61"/>
    </row>
    <row r="57" ht="15.75" spans="1:8">
      <c r="A57" s="49">
        <v>34</v>
      </c>
      <c r="B57" s="54"/>
      <c r="C57" s="55"/>
      <c r="D57" s="63" t="s">
        <v>167</v>
      </c>
      <c r="E57" s="53">
        <f t="shared" si="1"/>
        <v>1321.25</v>
      </c>
      <c r="F57" s="53">
        <v>1201.25</v>
      </c>
      <c r="G57" s="53">
        <v>120</v>
      </c>
      <c r="H57" s="61"/>
    </row>
    <row r="58" ht="15.75" spans="1:8">
      <c r="A58" s="49">
        <v>35</v>
      </c>
      <c r="B58" s="54"/>
      <c r="C58" s="55"/>
      <c r="D58" s="58" t="s">
        <v>168</v>
      </c>
      <c r="E58" s="53">
        <f t="shared" si="1"/>
        <v>40331</v>
      </c>
      <c r="F58" s="53">
        <v>35631</v>
      </c>
      <c r="G58" s="53">
        <v>4700</v>
      </c>
      <c r="H58" s="61"/>
    </row>
    <row r="59" ht="15.75" spans="1:8">
      <c r="A59" s="49">
        <v>36</v>
      </c>
      <c r="B59" s="54"/>
      <c r="C59" s="55"/>
      <c r="D59" s="58" t="s">
        <v>169</v>
      </c>
      <c r="E59" s="53">
        <f t="shared" si="1"/>
        <v>9517.7</v>
      </c>
      <c r="F59" s="53">
        <v>7765.7</v>
      </c>
      <c r="G59" s="53">
        <v>1752</v>
      </c>
      <c r="H59" s="61"/>
    </row>
    <row r="60" ht="15.75" spans="1:8">
      <c r="A60" s="49">
        <v>37</v>
      </c>
      <c r="B60" s="54"/>
      <c r="C60" s="55"/>
      <c r="D60" s="58" t="s">
        <v>170</v>
      </c>
      <c r="E60" s="53">
        <f t="shared" si="1"/>
        <v>10279</v>
      </c>
      <c r="F60" s="53">
        <f>F61+F62</f>
        <v>8054</v>
      </c>
      <c r="G60" s="53">
        <f>G61+G62</f>
        <v>2225</v>
      </c>
      <c r="H60" s="61"/>
    </row>
    <row r="61" ht="15.75" spans="1:8">
      <c r="A61" s="49">
        <v>38</v>
      </c>
      <c r="B61" s="54"/>
      <c r="C61" s="55"/>
      <c r="D61" s="62" t="s">
        <v>171</v>
      </c>
      <c r="E61" s="53">
        <f t="shared" si="1"/>
        <v>9760.53</v>
      </c>
      <c r="F61" s="53">
        <v>7604.53</v>
      </c>
      <c r="G61" s="53">
        <v>2156</v>
      </c>
      <c r="H61" s="61"/>
    </row>
    <row r="62" ht="15.75" spans="1:8">
      <c r="A62" s="49">
        <v>39</v>
      </c>
      <c r="B62" s="54"/>
      <c r="C62" s="55"/>
      <c r="D62" s="62" t="s">
        <v>172</v>
      </c>
      <c r="E62" s="53">
        <f t="shared" si="1"/>
        <v>518.47</v>
      </c>
      <c r="F62" s="53">
        <v>449.47</v>
      </c>
      <c r="G62" s="53">
        <v>69</v>
      </c>
      <c r="H62" s="61"/>
    </row>
    <row r="63" ht="15.75" spans="1:8">
      <c r="A63" s="49">
        <v>38</v>
      </c>
      <c r="B63" s="54"/>
      <c r="C63" s="55"/>
      <c r="D63" s="64" t="s">
        <v>173</v>
      </c>
      <c r="E63" s="53">
        <f t="shared" si="1"/>
        <v>3150</v>
      </c>
      <c r="F63" s="53">
        <v>2700</v>
      </c>
      <c r="G63" s="53">
        <v>450</v>
      </c>
      <c r="H63" s="57"/>
    </row>
    <row r="64" ht="18" customHeight="1" spans="1:8">
      <c r="A64" s="49">
        <v>39</v>
      </c>
      <c r="B64" s="54"/>
      <c r="C64" s="55"/>
      <c r="D64" s="64" t="s">
        <v>174</v>
      </c>
      <c r="E64" s="53">
        <f t="shared" si="1"/>
        <v>9269</v>
      </c>
      <c r="F64" s="53">
        <v>7901</v>
      </c>
      <c r="G64" s="53">
        <v>1368</v>
      </c>
      <c r="H64" s="57"/>
    </row>
    <row r="65" customHeight="1" spans="1:8">
      <c r="A65" s="49">
        <v>40</v>
      </c>
      <c r="B65" s="54"/>
      <c r="C65" s="55"/>
      <c r="D65" s="64" t="s">
        <v>175</v>
      </c>
      <c r="E65" s="53">
        <f t="shared" si="1"/>
        <v>0</v>
      </c>
      <c r="F65" s="53">
        <v>0</v>
      </c>
      <c r="G65" s="53"/>
      <c r="H65" s="57"/>
    </row>
    <row r="66" customHeight="1" spans="1:8">
      <c r="A66" s="49">
        <v>41</v>
      </c>
      <c r="B66" s="54"/>
      <c r="C66" s="54"/>
      <c r="D66" s="60" t="s">
        <v>176</v>
      </c>
      <c r="E66" s="53">
        <f t="shared" si="1"/>
        <v>140967.76742</v>
      </c>
      <c r="F66" s="53">
        <f>F67+F68+F69</f>
        <v>100780.76742</v>
      </c>
      <c r="G66" s="53">
        <f>G67+G68+G69</f>
        <v>40187</v>
      </c>
      <c r="H66" s="65"/>
    </row>
    <row r="67" customHeight="1" spans="1:8">
      <c r="A67" s="49">
        <v>42</v>
      </c>
      <c r="B67" s="54"/>
      <c r="C67" s="54"/>
      <c r="D67" s="64" t="s">
        <v>177</v>
      </c>
      <c r="E67" s="53">
        <f t="shared" si="1"/>
        <v>28160</v>
      </c>
      <c r="F67" s="53">
        <v>12210</v>
      </c>
      <c r="G67" s="53">
        <v>15950</v>
      </c>
      <c r="H67" s="65"/>
    </row>
    <row r="68" customHeight="1" spans="1:8">
      <c r="A68" s="49">
        <v>43</v>
      </c>
      <c r="B68" s="54"/>
      <c r="C68" s="54"/>
      <c r="D68" s="64" t="s">
        <v>178</v>
      </c>
      <c r="E68" s="53">
        <f t="shared" si="1"/>
        <v>40637.062192</v>
      </c>
      <c r="F68" s="53">
        <v>30354.062192</v>
      </c>
      <c r="G68" s="53">
        <v>10283</v>
      </c>
      <c r="H68" s="65"/>
    </row>
    <row r="69" customHeight="1" spans="1:8">
      <c r="A69" s="49">
        <v>44</v>
      </c>
      <c r="B69" s="54"/>
      <c r="C69" s="54"/>
      <c r="D69" s="64" t="s">
        <v>179</v>
      </c>
      <c r="E69" s="53">
        <f t="shared" si="1"/>
        <v>72170.705228</v>
      </c>
      <c r="F69" s="53">
        <v>58216.705228</v>
      </c>
      <c r="G69" s="53">
        <v>13954</v>
      </c>
      <c r="H69" s="65"/>
    </row>
  </sheetData>
  <mergeCells count="7">
    <mergeCell ref="A2:H2"/>
    <mergeCell ref="E4:G4"/>
    <mergeCell ref="A4:A5"/>
    <mergeCell ref="B4:B5"/>
    <mergeCell ref="C4:C5"/>
    <mergeCell ref="D4:D5"/>
    <mergeCell ref="H4:H5"/>
  </mergeCells>
  <printOptions horizontalCentered="1"/>
  <pageMargins left="0.550694444444444" right="0.550694444444444" top="0.393055555555556" bottom="0.393055555555556" header="0.708333333333333" footer="0.314583333333333"/>
  <pageSetup paperSize="9" firstPageNumber="19" fitToHeight="0" orientation="portrait" useFirstPageNumber="1" horizontalDpi="600"/>
  <headerFooter>
    <oddFooter>&amp;C&amp;P</oddFooter>
  </headerFooter>
  <rowBreaks count="1" manualBreakCount="1">
    <brk id="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L99"/>
  <sheetViews>
    <sheetView showZeros="0" workbookViewId="0">
      <selection activeCell="A1" sqref="A1"/>
    </sheetView>
  </sheetViews>
  <sheetFormatPr defaultColWidth="12.125" defaultRowHeight="15.6" customHeight="1"/>
  <cols>
    <col min="1" max="1" width="12.125" style="1"/>
    <col min="2" max="2" width="21.25" style="1" customWidth="1"/>
    <col min="3" max="3" width="10.875" style="2" customWidth="1"/>
    <col min="4" max="8" width="9.625" style="2" customWidth="1"/>
    <col min="9" max="10" width="12.125" style="1" hidden="1" customWidth="1"/>
    <col min="11" max="11" width="26.375" style="1" hidden="1" customWidth="1"/>
    <col min="12" max="12" width="12.125" style="1" hidden="1" customWidth="1"/>
    <col min="13" max="241" width="12.125" style="1" customWidth="1"/>
    <col min="242" max="16384" width="12.125" style="1"/>
  </cols>
  <sheetData>
    <row r="1" s="1" customFormat="1" ht="36.75" customHeight="1" spans="1:8">
      <c r="A1" s="3" t="s">
        <v>180</v>
      </c>
      <c r="B1" s="4" t="s">
        <v>181</v>
      </c>
      <c r="C1" s="5"/>
      <c r="D1" s="5"/>
      <c r="E1" s="5"/>
      <c r="F1" s="5"/>
      <c r="G1" s="5"/>
      <c r="H1" s="5"/>
    </row>
    <row r="2" s="1" customFormat="1" ht="16.9" customHeight="1" spans="2:8">
      <c r="B2" s="6"/>
      <c r="C2" s="2"/>
      <c r="D2" s="2"/>
      <c r="E2" s="7"/>
      <c r="F2" s="7"/>
      <c r="G2" s="8" t="s">
        <v>2</v>
      </c>
      <c r="H2" s="8"/>
    </row>
    <row r="3" s="1" customFormat="1" ht="18" customHeight="1" spans="1:8">
      <c r="A3" s="9" t="s">
        <v>182</v>
      </c>
      <c r="B3" s="10" t="s">
        <v>183</v>
      </c>
      <c r="C3" s="11" t="s">
        <v>5</v>
      </c>
      <c r="D3" s="11"/>
      <c r="E3" s="11"/>
      <c r="F3" s="11"/>
      <c r="G3" s="11"/>
      <c r="H3" s="11"/>
    </row>
    <row r="4" s="1" customFormat="1" ht="27" customHeight="1" spans="1:8">
      <c r="A4" s="12"/>
      <c r="B4" s="13"/>
      <c r="C4" s="14" t="s">
        <v>6</v>
      </c>
      <c r="D4" s="14" t="s">
        <v>7</v>
      </c>
      <c r="E4" s="14" t="s">
        <v>8</v>
      </c>
      <c r="F4" s="15" t="s">
        <v>184</v>
      </c>
      <c r="G4" s="16"/>
      <c r="H4" s="17"/>
    </row>
    <row r="5" s="1" customFormat="1" ht="27" customHeight="1" spans="1:8">
      <c r="A5" s="18"/>
      <c r="B5" s="13"/>
      <c r="C5" s="19"/>
      <c r="D5" s="19"/>
      <c r="E5" s="19"/>
      <c r="F5" s="14" t="s">
        <v>6</v>
      </c>
      <c r="G5" s="14" t="s">
        <v>7</v>
      </c>
      <c r="H5" s="14" t="s">
        <v>8</v>
      </c>
    </row>
    <row r="6" s="1" customFormat="1" ht="24" customHeight="1" spans="1:9">
      <c r="A6" s="20" t="s">
        <v>185</v>
      </c>
      <c r="B6" s="21"/>
      <c r="C6" s="22">
        <f>D6+E6</f>
        <v>1023306.5</v>
      </c>
      <c r="D6" s="22">
        <f>D7+D12+D23+D31+D38+D42+D45+D49+D54+D60+D68+D71+D78+D81+D63</f>
        <v>739936</v>
      </c>
      <c r="E6" s="22">
        <f>E7+E12+E23+E31+E38+E42+E45+E49+E54+E60+E63+E68+E71+E78+E81</f>
        <v>283370.5</v>
      </c>
      <c r="F6" s="22">
        <f>G6+H6</f>
        <v>383307.046075</v>
      </c>
      <c r="G6" s="22">
        <f>G7+G12+G23+G31+G38+G42+G45+G49+G54+G60+G68+G71+G78+G81+G63</f>
        <v>323600.046075</v>
      </c>
      <c r="H6" s="22">
        <f>H7+H12+H23+H31+H38+H42+H45+H49+H54+H60+H63+H68+H71+H78+H81</f>
        <v>59707</v>
      </c>
      <c r="I6" s="1">
        <f>E6-H6</f>
        <v>223663.5</v>
      </c>
    </row>
    <row r="7" s="1" customFormat="1" ht="18" customHeight="1" spans="1:12">
      <c r="A7" s="23">
        <v>501</v>
      </c>
      <c r="B7" s="24" t="s">
        <v>186</v>
      </c>
      <c r="C7" s="22">
        <f t="shared" ref="C7:C38" si="0">D7+E7</f>
        <v>108149.281905</v>
      </c>
      <c r="D7" s="22">
        <f>D8+D9+D10+D11</f>
        <v>96856.281905</v>
      </c>
      <c r="E7" s="22">
        <v>11293</v>
      </c>
      <c r="F7" s="22">
        <f t="shared" ref="F7:F38" si="1">G7+H7</f>
        <v>81127.188453</v>
      </c>
      <c r="G7" s="22">
        <f>SUM(G8:G11)</f>
        <v>71865.188453</v>
      </c>
      <c r="H7" s="22">
        <v>9262</v>
      </c>
      <c r="I7" s="1">
        <f t="shared" ref="I7:I38" si="2">E7-H7</f>
        <v>2031</v>
      </c>
      <c r="K7" s="1" t="s">
        <v>187</v>
      </c>
      <c r="L7" s="1">
        <v>63561.71235</v>
      </c>
    </row>
    <row r="8" s="1" customFormat="1" ht="18" customHeight="1" spans="1:9">
      <c r="A8" s="23">
        <v>50101</v>
      </c>
      <c r="B8" s="25" t="s">
        <v>188</v>
      </c>
      <c r="C8" s="22">
        <f t="shared" si="0"/>
        <v>72476.250528</v>
      </c>
      <c r="D8" s="22">
        <v>70056.250528</v>
      </c>
      <c r="E8" s="22">
        <v>2420</v>
      </c>
      <c r="F8" s="22">
        <f t="shared" si="1"/>
        <v>47603.377076</v>
      </c>
      <c r="G8" s="22">
        <v>45190.377076</v>
      </c>
      <c r="H8" s="22">
        <v>2413</v>
      </c>
      <c r="I8" s="1">
        <f t="shared" si="2"/>
        <v>7</v>
      </c>
    </row>
    <row r="9" s="1" customFormat="1" ht="18" customHeight="1" spans="1:9">
      <c r="A9" s="23">
        <v>50102</v>
      </c>
      <c r="B9" s="25" t="s">
        <v>189</v>
      </c>
      <c r="C9" s="22">
        <f t="shared" si="0"/>
        <v>15681.754489</v>
      </c>
      <c r="D9" s="22">
        <v>14982.754489</v>
      </c>
      <c r="E9" s="22">
        <v>699</v>
      </c>
      <c r="F9" s="22">
        <f t="shared" si="1"/>
        <v>15558.534489</v>
      </c>
      <c r="G9" s="22">
        <v>14857.534489</v>
      </c>
      <c r="H9" s="22">
        <v>701</v>
      </c>
      <c r="I9" s="1">
        <f t="shared" si="2"/>
        <v>-2</v>
      </c>
    </row>
    <row r="10" s="1" customFormat="1" ht="18" customHeight="1" spans="1:9">
      <c r="A10" s="23">
        <v>50103</v>
      </c>
      <c r="B10" s="25" t="s">
        <v>190</v>
      </c>
      <c r="C10" s="22">
        <f t="shared" si="0"/>
        <v>7115.7824</v>
      </c>
      <c r="D10" s="22">
        <v>6798.7824</v>
      </c>
      <c r="E10" s="22">
        <v>317</v>
      </c>
      <c r="F10" s="22">
        <f t="shared" si="1"/>
        <v>7115.7824</v>
      </c>
      <c r="G10" s="22">
        <v>6798.7824</v>
      </c>
      <c r="H10" s="22">
        <v>317</v>
      </c>
      <c r="I10" s="1">
        <f t="shared" si="2"/>
        <v>0</v>
      </c>
    </row>
    <row r="11" s="1" customFormat="1" ht="18" customHeight="1" spans="1:9">
      <c r="A11" s="23">
        <v>50199</v>
      </c>
      <c r="B11" s="25" t="s">
        <v>191</v>
      </c>
      <c r="C11" s="22">
        <f t="shared" si="0"/>
        <v>12875.494488</v>
      </c>
      <c r="D11" s="22">
        <v>5018.494488</v>
      </c>
      <c r="E11" s="22">
        <v>7857</v>
      </c>
      <c r="F11" s="22">
        <f t="shared" si="1"/>
        <v>10849.494488</v>
      </c>
      <c r="G11" s="22">
        <v>5018.494488</v>
      </c>
      <c r="H11" s="22">
        <v>5831</v>
      </c>
      <c r="I11" s="1">
        <f t="shared" si="2"/>
        <v>2026</v>
      </c>
    </row>
    <row r="12" s="1" customFormat="1" ht="18" customHeight="1" spans="1:12">
      <c r="A12" s="23">
        <v>502</v>
      </c>
      <c r="B12" s="24" t="s">
        <v>192</v>
      </c>
      <c r="C12" s="22">
        <f t="shared" si="0"/>
        <v>124429.879517</v>
      </c>
      <c r="D12" s="22">
        <f>D13+D14+D15+D16+D17+D18+D19+D20+D21+D22</f>
        <v>74153.379517</v>
      </c>
      <c r="E12" s="22">
        <v>50276.5</v>
      </c>
      <c r="F12" s="22">
        <f t="shared" si="1"/>
        <v>43843.656806</v>
      </c>
      <c r="G12" s="22">
        <f>SUM(G13:G22)</f>
        <v>34602.656806</v>
      </c>
      <c r="H12" s="22">
        <v>9241</v>
      </c>
      <c r="I12" s="1">
        <f t="shared" si="2"/>
        <v>41035.5</v>
      </c>
      <c r="K12" s="1" t="s">
        <v>193</v>
      </c>
      <c r="L12" s="1">
        <v>17583.835665</v>
      </c>
    </row>
    <row r="13" s="1" customFormat="1" ht="18" customHeight="1" spans="1:9">
      <c r="A13" s="23">
        <v>50201</v>
      </c>
      <c r="B13" s="25" t="s">
        <v>194</v>
      </c>
      <c r="C13" s="22">
        <f t="shared" si="0"/>
        <v>22688.551044</v>
      </c>
      <c r="D13" s="22">
        <v>18319.551044</v>
      </c>
      <c r="E13" s="22">
        <v>4369</v>
      </c>
      <c r="F13" s="22">
        <f t="shared" si="1"/>
        <v>11711.711044</v>
      </c>
      <c r="G13" s="22">
        <v>7998.711044</v>
      </c>
      <c r="H13" s="22">
        <v>3713</v>
      </c>
      <c r="I13" s="1">
        <f t="shared" si="2"/>
        <v>656</v>
      </c>
    </row>
    <row r="14" s="1" customFormat="1" ht="18" customHeight="1" spans="1:9">
      <c r="A14" s="23">
        <v>50202</v>
      </c>
      <c r="B14" s="25" t="s">
        <v>195</v>
      </c>
      <c r="C14" s="22">
        <f t="shared" si="0"/>
        <v>300.65</v>
      </c>
      <c r="D14" s="22">
        <v>299.65</v>
      </c>
      <c r="E14" s="22">
        <v>1</v>
      </c>
      <c r="F14" s="22">
        <f t="shared" si="1"/>
        <v>300.65</v>
      </c>
      <c r="G14" s="22">
        <v>299.65</v>
      </c>
      <c r="H14" s="22">
        <v>1</v>
      </c>
      <c r="I14" s="1">
        <f t="shared" si="2"/>
        <v>0</v>
      </c>
    </row>
    <row r="15" s="1" customFormat="1" ht="18" customHeight="1" spans="1:9">
      <c r="A15" s="23">
        <v>50203</v>
      </c>
      <c r="B15" s="25" t="s">
        <v>196</v>
      </c>
      <c r="C15" s="22">
        <f t="shared" si="0"/>
        <v>757.33991</v>
      </c>
      <c r="D15" s="22">
        <v>701.33991</v>
      </c>
      <c r="E15" s="22">
        <v>56</v>
      </c>
      <c r="F15" s="22">
        <f t="shared" si="1"/>
        <v>692.33991</v>
      </c>
      <c r="G15" s="22">
        <v>651.33991</v>
      </c>
      <c r="H15" s="22">
        <v>41</v>
      </c>
      <c r="I15" s="1">
        <f t="shared" si="2"/>
        <v>15</v>
      </c>
    </row>
    <row r="16" s="1" customFormat="1" ht="18" customHeight="1" spans="1:9">
      <c r="A16" s="23">
        <v>50204</v>
      </c>
      <c r="B16" s="25" t="s">
        <v>197</v>
      </c>
      <c r="C16" s="22">
        <f t="shared" si="0"/>
        <v>423.778</v>
      </c>
      <c r="D16" s="22">
        <v>423.778</v>
      </c>
      <c r="E16" s="22"/>
      <c r="F16" s="22">
        <f t="shared" si="1"/>
        <v>363.198</v>
      </c>
      <c r="G16" s="22">
        <v>363.198</v>
      </c>
      <c r="H16" s="22"/>
      <c r="I16" s="1">
        <f t="shared" si="2"/>
        <v>0</v>
      </c>
    </row>
    <row r="17" s="1" customFormat="1" ht="18" customHeight="1" spans="1:9">
      <c r="A17" s="23">
        <v>50205</v>
      </c>
      <c r="B17" s="25" t="s">
        <v>198</v>
      </c>
      <c r="C17" s="22">
        <f t="shared" si="0"/>
        <v>14560.065124</v>
      </c>
      <c r="D17" s="22">
        <v>9764.065124</v>
      </c>
      <c r="E17" s="22">
        <v>4796</v>
      </c>
      <c r="F17" s="22">
        <f t="shared" si="1"/>
        <v>7048.905124</v>
      </c>
      <c r="G17" s="22">
        <v>6177.905124</v>
      </c>
      <c r="H17" s="22">
        <v>871</v>
      </c>
      <c r="I17" s="1">
        <f t="shared" si="2"/>
        <v>3925</v>
      </c>
    </row>
    <row r="18" s="1" customFormat="1" ht="18" customHeight="1" spans="1:9">
      <c r="A18" s="23">
        <v>50206</v>
      </c>
      <c r="B18" s="25" t="s">
        <v>199</v>
      </c>
      <c r="C18" s="22">
        <f t="shared" si="0"/>
        <v>100.05</v>
      </c>
      <c r="D18" s="22">
        <v>83.05</v>
      </c>
      <c r="E18" s="22">
        <v>17</v>
      </c>
      <c r="F18" s="22">
        <f t="shared" si="1"/>
        <v>100.05</v>
      </c>
      <c r="G18" s="22">
        <v>83.05</v>
      </c>
      <c r="H18" s="22">
        <v>17</v>
      </c>
      <c r="I18" s="1">
        <f t="shared" si="2"/>
        <v>0</v>
      </c>
    </row>
    <row r="19" s="1" customFormat="1" ht="18" customHeight="1" spans="1:9">
      <c r="A19" s="23">
        <v>50207</v>
      </c>
      <c r="B19" s="25" t="s">
        <v>200</v>
      </c>
      <c r="C19" s="22">
        <f t="shared" si="0"/>
        <v>51</v>
      </c>
      <c r="D19" s="22">
        <v>41</v>
      </c>
      <c r="E19" s="22">
        <v>10</v>
      </c>
      <c r="F19" s="22">
        <f t="shared" si="1"/>
        <v>51</v>
      </c>
      <c r="G19" s="22">
        <v>41</v>
      </c>
      <c r="H19" s="22">
        <v>10</v>
      </c>
      <c r="I19" s="1">
        <f t="shared" si="2"/>
        <v>0</v>
      </c>
    </row>
    <row r="20" s="1" customFormat="1" ht="18" customHeight="1" spans="1:9">
      <c r="A20" s="23">
        <v>50208</v>
      </c>
      <c r="B20" s="25" t="s">
        <v>201</v>
      </c>
      <c r="C20" s="22">
        <f t="shared" si="0"/>
        <v>996.112</v>
      </c>
      <c r="D20" s="22">
        <v>979.612</v>
      </c>
      <c r="E20" s="22">
        <v>16.5</v>
      </c>
      <c r="F20" s="22">
        <f t="shared" si="1"/>
        <v>995.612</v>
      </c>
      <c r="G20" s="22">
        <v>979.612</v>
      </c>
      <c r="H20" s="22">
        <v>16</v>
      </c>
      <c r="I20" s="1">
        <f t="shared" si="2"/>
        <v>0.5</v>
      </c>
    </row>
    <row r="21" s="1" customFormat="1" ht="18" customHeight="1" spans="1:9">
      <c r="A21" s="23">
        <v>50209</v>
      </c>
      <c r="B21" s="25" t="s">
        <v>202</v>
      </c>
      <c r="C21" s="22">
        <f t="shared" si="0"/>
        <v>1020.5009</v>
      </c>
      <c r="D21" s="22">
        <v>1020.5009</v>
      </c>
      <c r="E21" s="22"/>
      <c r="F21" s="22">
        <f t="shared" si="1"/>
        <v>929.2409</v>
      </c>
      <c r="G21" s="22">
        <v>928.2409</v>
      </c>
      <c r="H21" s="22">
        <v>1</v>
      </c>
      <c r="I21" s="1">
        <f t="shared" si="2"/>
        <v>-1</v>
      </c>
    </row>
    <row r="22" s="1" customFormat="1" ht="18" customHeight="1" spans="1:9">
      <c r="A22" s="23">
        <v>50299</v>
      </c>
      <c r="B22" s="25" t="s">
        <v>203</v>
      </c>
      <c r="C22" s="22">
        <f t="shared" si="0"/>
        <v>83531.832539</v>
      </c>
      <c r="D22" s="22">
        <v>42520.832539</v>
      </c>
      <c r="E22" s="22">
        <v>41011</v>
      </c>
      <c r="F22" s="22">
        <f t="shared" si="1"/>
        <v>21650.949828</v>
      </c>
      <c r="G22" s="22">
        <v>17079.949828</v>
      </c>
      <c r="H22" s="22">
        <v>4571</v>
      </c>
      <c r="I22" s="1">
        <f t="shared" si="2"/>
        <v>36440</v>
      </c>
    </row>
    <row r="23" s="1" customFormat="1" ht="18" customHeight="1" spans="1:12">
      <c r="A23" s="26">
        <v>503</v>
      </c>
      <c r="B23" s="24" t="s">
        <v>204</v>
      </c>
      <c r="C23" s="22">
        <f t="shared" si="0"/>
        <v>92252.3127</v>
      </c>
      <c r="D23" s="22">
        <f>D24+D25+D26+D27+D28+D29+D30</f>
        <v>21283.3127</v>
      </c>
      <c r="E23" s="22">
        <v>70969</v>
      </c>
      <c r="F23" s="22">
        <f t="shared" si="1"/>
        <v>2706.1866</v>
      </c>
      <c r="G23" s="22">
        <f>SUM(G24:G30)</f>
        <v>2703.1866</v>
      </c>
      <c r="H23" s="22">
        <v>3</v>
      </c>
      <c r="I23" s="1">
        <f t="shared" si="2"/>
        <v>70966</v>
      </c>
      <c r="K23" s="1" t="s">
        <v>205</v>
      </c>
      <c r="L23" s="1">
        <v>937.76</v>
      </c>
    </row>
    <row r="24" s="1" customFormat="1" ht="18" hidden="1" customHeight="1" spans="1:9">
      <c r="A24" s="23">
        <v>50301</v>
      </c>
      <c r="B24" s="25" t="s">
        <v>206</v>
      </c>
      <c r="C24" s="22">
        <f t="shared" si="0"/>
        <v>0</v>
      </c>
      <c r="D24" s="22"/>
      <c r="E24" s="22"/>
      <c r="F24" s="22">
        <f t="shared" si="1"/>
        <v>0</v>
      </c>
      <c r="G24" s="22"/>
      <c r="H24" s="22"/>
      <c r="I24" s="1">
        <f t="shared" si="2"/>
        <v>0</v>
      </c>
    </row>
    <row r="25" s="1" customFormat="1" ht="18" customHeight="1" spans="1:9">
      <c r="A25" s="23">
        <v>50302</v>
      </c>
      <c r="B25" s="25" t="s">
        <v>207</v>
      </c>
      <c r="C25" s="22">
        <f t="shared" si="0"/>
        <v>1810.52</v>
      </c>
      <c r="D25" s="22">
        <v>1810.52</v>
      </c>
      <c r="E25" s="22"/>
      <c r="F25" s="22">
        <f t="shared" si="1"/>
        <v>0</v>
      </c>
      <c r="G25" s="22"/>
      <c r="H25" s="22"/>
      <c r="I25" s="1">
        <f t="shared" si="2"/>
        <v>0</v>
      </c>
    </row>
    <row r="26" s="1" customFormat="1" ht="18" customHeight="1" spans="1:9">
      <c r="A26" s="23">
        <v>50303</v>
      </c>
      <c r="B26" s="25" t="s">
        <v>208</v>
      </c>
      <c r="C26" s="22">
        <f t="shared" si="0"/>
        <v>318</v>
      </c>
      <c r="D26" s="22">
        <v>318</v>
      </c>
      <c r="E26" s="22"/>
      <c r="F26" s="22">
        <f t="shared" si="1"/>
        <v>198</v>
      </c>
      <c r="G26" s="22">
        <v>198</v>
      </c>
      <c r="H26" s="22"/>
      <c r="I26" s="1">
        <f t="shared" si="2"/>
        <v>0</v>
      </c>
    </row>
    <row r="27" s="1" customFormat="1" ht="18" customHeight="1" spans="1:9">
      <c r="A27" s="26">
        <v>50305</v>
      </c>
      <c r="B27" s="27" t="s">
        <v>209</v>
      </c>
      <c r="C27" s="22">
        <f t="shared" si="0"/>
        <v>9474</v>
      </c>
      <c r="D27" s="22"/>
      <c r="E27" s="22">
        <v>9474</v>
      </c>
      <c r="F27" s="22">
        <f t="shared" si="1"/>
        <v>0</v>
      </c>
      <c r="G27" s="22"/>
      <c r="H27" s="22"/>
      <c r="I27" s="1">
        <f t="shared" si="2"/>
        <v>9474</v>
      </c>
    </row>
    <row r="28" s="1" customFormat="1" ht="18" customHeight="1" spans="1:9">
      <c r="A28" s="23">
        <v>50306</v>
      </c>
      <c r="B28" s="25" t="s">
        <v>210</v>
      </c>
      <c r="C28" s="22">
        <f t="shared" si="0"/>
        <v>2090.7866</v>
      </c>
      <c r="D28" s="22">
        <v>2033.7866</v>
      </c>
      <c r="E28" s="22">
        <v>57</v>
      </c>
      <c r="F28" s="22">
        <f t="shared" si="1"/>
        <v>1737.5366</v>
      </c>
      <c r="G28" s="22">
        <v>1734.5366</v>
      </c>
      <c r="H28" s="22">
        <v>3</v>
      </c>
      <c r="I28" s="1">
        <f t="shared" si="2"/>
        <v>54</v>
      </c>
    </row>
    <row r="29" s="1" customFormat="1" ht="18" customHeight="1" spans="1:9">
      <c r="A29" s="23">
        <v>50307</v>
      </c>
      <c r="B29" s="25" t="s">
        <v>211</v>
      </c>
      <c r="C29" s="22">
        <f t="shared" si="0"/>
        <v>975.69</v>
      </c>
      <c r="D29" s="22">
        <v>325.69</v>
      </c>
      <c r="E29" s="22">
        <v>650</v>
      </c>
      <c r="F29" s="22">
        <f t="shared" si="1"/>
        <v>16.59</v>
      </c>
      <c r="G29" s="22">
        <v>16.59</v>
      </c>
      <c r="H29" s="22"/>
      <c r="I29" s="1">
        <f t="shared" si="2"/>
        <v>650</v>
      </c>
    </row>
    <row r="30" s="1" customFormat="1" ht="18" customHeight="1" spans="1:9">
      <c r="A30" s="23">
        <v>50399</v>
      </c>
      <c r="B30" s="25" t="s">
        <v>212</v>
      </c>
      <c r="C30" s="22">
        <f t="shared" si="0"/>
        <v>77583.3161</v>
      </c>
      <c r="D30" s="22">
        <v>16795.3161</v>
      </c>
      <c r="E30" s="22">
        <v>60788</v>
      </c>
      <c r="F30" s="22">
        <f t="shared" si="1"/>
        <v>754.06</v>
      </c>
      <c r="G30" s="22">
        <v>754.06</v>
      </c>
      <c r="H30" s="22"/>
      <c r="I30" s="1">
        <f t="shared" si="2"/>
        <v>60788</v>
      </c>
    </row>
    <row r="31" s="1" customFormat="1" ht="22" hidden="1" customHeight="1" spans="1:12">
      <c r="A31" s="23">
        <v>504</v>
      </c>
      <c r="B31" s="24" t="s">
        <v>213</v>
      </c>
      <c r="C31" s="22">
        <f t="shared" si="0"/>
        <v>0</v>
      </c>
      <c r="D31" s="22">
        <f>D32+D33+D34+D35+D36+D37</f>
        <v>0</v>
      </c>
      <c r="E31" s="22"/>
      <c r="F31" s="22">
        <f t="shared" si="1"/>
        <v>0</v>
      </c>
      <c r="G31" s="22"/>
      <c r="H31" s="22"/>
      <c r="I31" s="1">
        <f t="shared" si="2"/>
        <v>0</v>
      </c>
      <c r="K31" s="1" t="s">
        <v>214</v>
      </c>
      <c r="L31" s="1">
        <v>168</v>
      </c>
    </row>
    <row r="32" s="1" customFormat="1" ht="18" hidden="1" customHeight="1" spans="1:12">
      <c r="A32" s="23">
        <v>50401</v>
      </c>
      <c r="B32" s="25" t="s">
        <v>206</v>
      </c>
      <c r="C32" s="22">
        <f t="shared" si="0"/>
        <v>0</v>
      </c>
      <c r="D32" s="22"/>
      <c r="E32" s="22"/>
      <c r="F32" s="22">
        <f t="shared" si="1"/>
        <v>0</v>
      </c>
      <c r="G32" s="22"/>
      <c r="H32" s="22"/>
      <c r="I32" s="1">
        <f t="shared" si="2"/>
        <v>0</v>
      </c>
      <c r="K32" s="1" t="s">
        <v>215</v>
      </c>
      <c r="L32" s="1">
        <v>9818.037</v>
      </c>
    </row>
    <row r="33" s="1" customFormat="1" ht="18" hidden="1" customHeight="1" spans="1:12">
      <c r="A33" s="23">
        <v>50402</v>
      </c>
      <c r="B33" s="25" t="s">
        <v>207</v>
      </c>
      <c r="C33" s="22">
        <f t="shared" si="0"/>
        <v>0</v>
      </c>
      <c r="D33" s="22"/>
      <c r="E33" s="22"/>
      <c r="F33" s="22">
        <f t="shared" si="1"/>
        <v>0</v>
      </c>
      <c r="G33" s="22"/>
      <c r="H33" s="22"/>
      <c r="I33" s="1">
        <f t="shared" si="2"/>
        <v>0</v>
      </c>
      <c r="K33" s="1" t="s">
        <v>216</v>
      </c>
      <c r="L33" s="1">
        <v>45</v>
      </c>
    </row>
    <row r="34" s="1" customFormat="1" ht="18" hidden="1" customHeight="1" spans="1:12">
      <c r="A34" s="23">
        <v>50403</v>
      </c>
      <c r="B34" s="25" t="s">
        <v>208</v>
      </c>
      <c r="C34" s="22">
        <f t="shared" si="0"/>
        <v>0</v>
      </c>
      <c r="D34" s="22"/>
      <c r="E34" s="22"/>
      <c r="F34" s="22">
        <f t="shared" si="1"/>
        <v>0</v>
      </c>
      <c r="G34" s="22"/>
      <c r="H34" s="22"/>
      <c r="I34" s="1">
        <f t="shared" si="2"/>
        <v>0</v>
      </c>
      <c r="K34" s="1" t="s">
        <v>217</v>
      </c>
      <c r="L34" s="1">
        <v>40285.31</v>
      </c>
    </row>
    <row r="35" s="1" customFormat="1" ht="18" hidden="1" customHeight="1" spans="1:12">
      <c r="A35" s="23">
        <v>50404</v>
      </c>
      <c r="B35" s="25" t="s">
        <v>210</v>
      </c>
      <c r="C35" s="22">
        <f t="shared" si="0"/>
        <v>0</v>
      </c>
      <c r="D35" s="22"/>
      <c r="E35" s="22"/>
      <c r="F35" s="22">
        <f t="shared" si="1"/>
        <v>0</v>
      </c>
      <c r="G35" s="22"/>
      <c r="H35" s="22"/>
      <c r="I35" s="1">
        <f t="shared" si="2"/>
        <v>0</v>
      </c>
      <c r="K35" s="1" t="s">
        <v>218</v>
      </c>
      <c r="L35" s="1">
        <v>10000</v>
      </c>
    </row>
    <row r="36" s="1" customFormat="1" ht="12" hidden="1" customHeight="1" spans="1:12">
      <c r="A36" s="23">
        <v>50405</v>
      </c>
      <c r="B36" s="25" t="s">
        <v>211</v>
      </c>
      <c r="C36" s="22">
        <f t="shared" si="0"/>
        <v>0</v>
      </c>
      <c r="D36" s="22"/>
      <c r="E36" s="22"/>
      <c r="F36" s="22">
        <f t="shared" si="1"/>
        <v>0</v>
      </c>
      <c r="G36" s="22"/>
      <c r="H36" s="22"/>
      <c r="I36" s="1">
        <f t="shared" si="2"/>
        <v>0</v>
      </c>
      <c r="K36" s="1" t="s">
        <v>219</v>
      </c>
      <c r="L36" s="1">
        <v>13332.0018</v>
      </c>
    </row>
    <row r="37" s="1" customFormat="1" ht="14.25" hidden="1" spans="1:12">
      <c r="A37" s="23">
        <v>50499</v>
      </c>
      <c r="B37" s="25" t="s">
        <v>212</v>
      </c>
      <c r="C37" s="22">
        <f t="shared" si="0"/>
        <v>0</v>
      </c>
      <c r="D37" s="22"/>
      <c r="E37" s="22"/>
      <c r="F37" s="22">
        <f t="shared" si="1"/>
        <v>0</v>
      </c>
      <c r="G37" s="22"/>
      <c r="H37" s="22"/>
      <c r="I37" s="1">
        <f t="shared" si="2"/>
        <v>0</v>
      </c>
      <c r="K37" s="1" t="s">
        <v>220</v>
      </c>
      <c r="L37" s="1">
        <v>324.42</v>
      </c>
    </row>
    <row r="38" s="1" customFormat="1" ht="18" customHeight="1" spans="1:12">
      <c r="A38" s="23">
        <v>505</v>
      </c>
      <c r="B38" s="24" t="s">
        <v>221</v>
      </c>
      <c r="C38" s="22">
        <f t="shared" si="0"/>
        <v>261094.691477</v>
      </c>
      <c r="D38" s="22">
        <f>D39+D40+D41</f>
        <v>214147.691477</v>
      </c>
      <c r="E38" s="22">
        <v>46947</v>
      </c>
      <c r="F38" s="22">
        <f t="shared" si="1"/>
        <v>219715.733996</v>
      </c>
      <c r="G38" s="22">
        <f>SUM(G39:G41)</f>
        <v>183332.733996</v>
      </c>
      <c r="H38" s="22">
        <v>36383</v>
      </c>
      <c r="I38" s="1">
        <f t="shared" si="2"/>
        <v>10564</v>
      </c>
      <c r="K38" s="1" t="s">
        <v>222</v>
      </c>
      <c r="L38" s="1">
        <v>6934.10064</v>
      </c>
    </row>
    <row r="39" s="1" customFormat="1" ht="18" customHeight="1" spans="1:9">
      <c r="A39" s="23">
        <v>50501</v>
      </c>
      <c r="B39" s="25" t="s">
        <v>223</v>
      </c>
      <c r="C39" s="22">
        <f t="shared" ref="C39:C85" si="3">D39+E39</f>
        <v>201231.036047</v>
      </c>
      <c r="D39" s="22">
        <v>169320.036047</v>
      </c>
      <c r="E39" s="22">
        <v>31911</v>
      </c>
      <c r="F39" s="22">
        <f t="shared" ref="F39:F85" si="4">G39+H39</f>
        <v>196456.253047</v>
      </c>
      <c r="G39" s="22">
        <v>164547.253047</v>
      </c>
      <c r="H39" s="22">
        <v>31909</v>
      </c>
      <c r="I39" s="1">
        <f t="shared" ref="I39:I85" si="5">E39-H39</f>
        <v>2</v>
      </c>
    </row>
    <row r="40" s="1" customFormat="1" ht="18" customHeight="1" spans="1:9">
      <c r="A40" s="23">
        <v>50502</v>
      </c>
      <c r="B40" s="25" t="s">
        <v>224</v>
      </c>
      <c r="C40" s="22">
        <f t="shared" si="3"/>
        <v>59680.65543</v>
      </c>
      <c r="D40" s="22">
        <v>44827.65543</v>
      </c>
      <c r="E40" s="22">
        <v>14853</v>
      </c>
      <c r="F40" s="22">
        <f t="shared" si="4"/>
        <v>23135.480949</v>
      </c>
      <c r="G40" s="22">
        <v>18785.480949</v>
      </c>
      <c r="H40" s="22">
        <v>4350</v>
      </c>
      <c r="I40" s="1">
        <f t="shared" si="5"/>
        <v>10503</v>
      </c>
    </row>
    <row r="41" s="1" customFormat="1" ht="18" customHeight="1" spans="1:9">
      <c r="A41" s="23">
        <v>50599</v>
      </c>
      <c r="B41" s="25" t="s">
        <v>225</v>
      </c>
      <c r="C41" s="22">
        <f t="shared" si="3"/>
        <v>126</v>
      </c>
      <c r="D41" s="22"/>
      <c r="E41" s="22">
        <v>126</v>
      </c>
      <c r="F41" s="22">
        <f t="shared" si="4"/>
        <v>124</v>
      </c>
      <c r="G41" s="22"/>
      <c r="H41" s="22">
        <v>124</v>
      </c>
      <c r="I41" s="1">
        <f t="shared" si="5"/>
        <v>2</v>
      </c>
    </row>
    <row r="42" s="1" customFormat="1" ht="18" customHeight="1" spans="1:12">
      <c r="A42" s="23">
        <v>506</v>
      </c>
      <c r="B42" s="24" t="s">
        <v>226</v>
      </c>
      <c r="C42" s="22">
        <f t="shared" si="3"/>
        <v>45903.594956</v>
      </c>
      <c r="D42" s="22">
        <f>D43+D44</f>
        <v>19621.594956</v>
      </c>
      <c r="E42" s="22">
        <v>26282</v>
      </c>
      <c r="F42" s="22">
        <f t="shared" si="4"/>
        <v>3397.805</v>
      </c>
      <c r="G42" s="22">
        <f>G43+G44</f>
        <v>3391.805</v>
      </c>
      <c r="H42" s="22">
        <v>6</v>
      </c>
      <c r="I42" s="1">
        <f t="shared" si="5"/>
        <v>26276</v>
      </c>
      <c r="K42" s="1" t="s">
        <v>227</v>
      </c>
      <c r="L42" s="1">
        <v>55</v>
      </c>
    </row>
    <row r="43" s="1" customFormat="1" ht="18" customHeight="1" spans="1:9">
      <c r="A43" s="23">
        <v>50601</v>
      </c>
      <c r="B43" s="25" t="s">
        <v>228</v>
      </c>
      <c r="C43" s="22">
        <f t="shared" si="3"/>
        <v>45903.594956</v>
      </c>
      <c r="D43" s="22">
        <v>19621.594956</v>
      </c>
      <c r="E43" s="22">
        <v>26282</v>
      </c>
      <c r="F43" s="22">
        <f t="shared" si="4"/>
        <v>3397.805</v>
      </c>
      <c r="G43" s="22">
        <v>3391.805</v>
      </c>
      <c r="H43" s="22">
        <v>6</v>
      </c>
      <c r="I43" s="1">
        <f t="shared" si="5"/>
        <v>26276</v>
      </c>
    </row>
    <row r="44" s="1" customFormat="1" ht="18" customHeight="1" spans="1:9">
      <c r="A44" s="23">
        <v>50602</v>
      </c>
      <c r="B44" s="25" t="s">
        <v>229</v>
      </c>
      <c r="C44" s="22">
        <f t="shared" si="3"/>
        <v>0</v>
      </c>
      <c r="D44" s="22"/>
      <c r="E44" s="22"/>
      <c r="F44" s="22">
        <f t="shared" si="4"/>
        <v>0</v>
      </c>
      <c r="G44" s="22"/>
      <c r="H44" s="22"/>
      <c r="I44" s="1">
        <f t="shared" si="5"/>
        <v>0</v>
      </c>
    </row>
    <row r="45" s="1" customFormat="1" ht="18" customHeight="1" spans="1:12">
      <c r="A45" s="23">
        <v>507</v>
      </c>
      <c r="B45" s="24" t="s">
        <v>230</v>
      </c>
      <c r="C45" s="22">
        <f t="shared" si="3"/>
        <v>105433.02682</v>
      </c>
      <c r="D45" s="22">
        <f>D46+D47+D48</f>
        <v>74148.02682</v>
      </c>
      <c r="E45" s="22">
        <v>31285</v>
      </c>
      <c r="F45" s="22">
        <f t="shared" si="4"/>
        <v>1169.42852</v>
      </c>
      <c r="G45" s="22">
        <f>G46+G47+G48</f>
        <v>1169.42852</v>
      </c>
      <c r="H45" s="22">
        <v>0</v>
      </c>
      <c r="I45" s="1">
        <f t="shared" si="5"/>
        <v>31285</v>
      </c>
      <c r="K45" s="1" t="s">
        <v>231</v>
      </c>
      <c r="L45" s="1">
        <v>25</v>
      </c>
    </row>
    <row r="46" s="1" customFormat="1" ht="18" customHeight="1" spans="1:9">
      <c r="A46" s="23">
        <v>50701</v>
      </c>
      <c r="B46" s="25" t="s">
        <v>232</v>
      </c>
      <c r="C46" s="22">
        <f t="shared" si="3"/>
        <v>10343.954</v>
      </c>
      <c r="D46" s="22">
        <v>10064.954</v>
      </c>
      <c r="E46" s="22">
        <v>279</v>
      </c>
      <c r="F46" s="22">
        <f t="shared" si="4"/>
        <v>662.464</v>
      </c>
      <c r="G46" s="22">
        <v>662.464</v>
      </c>
      <c r="H46" s="22"/>
      <c r="I46" s="1">
        <f t="shared" si="5"/>
        <v>279</v>
      </c>
    </row>
    <row r="47" s="1" customFormat="1" ht="18" customHeight="1" spans="1:9">
      <c r="A47" s="23">
        <v>50702</v>
      </c>
      <c r="B47" s="25" t="s">
        <v>233</v>
      </c>
      <c r="C47" s="22">
        <f t="shared" si="3"/>
        <v>46</v>
      </c>
      <c r="D47" s="22">
        <v>42</v>
      </c>
      <c r="E47" s="22">
        <v>4</v>
      </c>
      <c r="F47" s="22">
        <f t="shared" si="4"/>
        <v>0</v>
      </c>
      <c r="G47" s="22"/>
      <c r="H47" s="22"/>
      <c r="I47" s="1">
        <f t="shared" si="5"/>
        <v>4</v>
      </c>
    </row>
    <row r="48" s="1" customFormat="1" ht="18" customHeight="1" spans="1:9">
      <c r="A48" s="23">
        <v>50799</v>
      </c>
      <c r="B48" s="25" t="s">
        <v>234</v>
      </c>
      <c r="C48" s="22">
        <f t="shared" si="3"/>
        <v>95043.07282</v>
      </c>
      <c r="D48" s="22">
        <v>64041.07282</v>
      </c>
      <c r="E48" s="22">
        <v>31002</v>
      </c>
      <c r="F48" s="22">
        <f t="shared" si="4"/>
        <v>506.96452</v>
      </c>
      <c r="G48" s="22">
        <v>506.96452</v>
      </c>
      <c r="H48" s="22"/>
      <c r="I48" s="1">
        <f t="shared" si="5"/>
        <v>31002</v>
      </c>
    </row>
    <row r="49" s="1" customFormat="1" ht="18" customHeight="1" spans="1:9">
      <c r="A49" s="23">
        <v>508</v>
      </c>
      <c r="B49" s="24" t="s">
        <v>235</v>
      </c>
      <c r="C49" s="22">
        <f t="shared" si="3"/>
        <v>5000</v>
      </c>
      <c r="D49" s="22">
        <f>D50+D51+D52+D53</f>
        <v>5000</v>
      </c>
      <c r="E49" s="22">
        <v>0</v>
      </c>
      <c r="F49" s="22">
        <f t="shared" si="4"/>
        <v>0</v>
      </c>
      <c r="G49" s="22"/>
      <c r="H49" s="22"/>
      <c r="I49" s="1">
        <f t="shared" si="5"/>
        <v>0</v>
      </c>
    </row>
    <row r="50" s="1" customFormat="1" ht="14.25" spans="1:9">
      <c r="A50" s="23">
        <v>50803</v>
      </c>
      <c r="B50" s="25" t="s">
        <v>236</v>
      </c>
      <c r="C50" s="22">
        <f t="shared" si="3"/>
        <v>5000</v>
      </c>
      <c r="D50" s="22">
        <v>5000</v>
      </c>
      <c r="E50" s="22"/>
      <c r="F50" s="22">
        <f t="shared" si="4"/>
        <v>0</v>
      </c>
      <c r="G50" s="22"/>
      <c r="H50" s="22"/>
      <c r="I50" s="1">
        <f t="shared" si="5"/>
        <v>0</v>
      </c>
    </row>
    <row r="51" s="1" customFormat="1" ht="14.25" hidden="1" spans="1:9">
      <c r="A51" s="23">
        <v>50804</v>
      </c>
      <c r="B51" s="25" t="s">
        <v>237</v>
      </c>
      <c r="C51" s="22">
        <f t="shared" si="3"/>
        <v>0</v>
      </c>
      <c r="D51" s="22"/>
      <c r="E51" s="22"/>
      <c r="F51" s="22">
        <f t="shared" si="4"/>
        <v>0</v>
      </c>
      <c r="G51" s="22"/>
      <c r="H51" s="22"/>
      <c r="I51" s="1">
        <f t="shared" si="5"/>
        <v>0</v>
      </c>
    </row>
    <row r="52" s="1" customFormat="1" ht="14.25" hidden="1" spans="1:9">
      <c r="A52" s="23">
        <v>50805</v>
      </c>
      <c r="B52" s="25" t="s">
        <v>238</v>
      </c>
      <c r="C52" s="22">
        <f t="shared" si="3"/>
        <v>0</v>
      </c>
      <c r="D52" s="22"/>
      <c r="E52" s="22"/>
      <c r="F52" s="22">
        <f t="shared" si="4"/>
        <v>0</v>
      </c>
      <c r="G52" s="22"/>
      <c r="H52" s="22"/>
      <c r="I52" s="1">
        <f t="shared" si="5"/>
        <v>0</v>
      </c>
    </row>
    <row r="53" s="1" customFormat="1" ht="14.25" hidden="1" spans="1:9">
      <c r="A53" s="23">
        <v>50899</v>
      </c>
      <c r="B53" s="25" t="s">
        <v>239</v>
      </c>
      <c r="C53" s="22">
        <f t="shared" si="3"/>
        <v>0</v>
      </c>
      <c r="D53" s="22"/>
      <c r="E53" s="22"/>
      <c r="F53" s="22">
        <f t="shared" si="4"/>
        <v>0</v>
      </c>
      <c r="G53" s="22"/>
      <c r="H53" s="22"/>
      <c r="I53" s="1">
        <f t="shared" si="5"/>
        <v>0</v>
      </c>
    </row>
    <row r="54" s="1" customFormat="1" ht="18" customHeight="1" spans="1:9">
      <c r="A54" s="23">
        <v>509</v>
      </c>
      <c r="B54" s="24" t="s">
        <v>240</v>
      </c>
      <c r="C54" s="22">
        <f t="shared" si="3"/>
        <v>104221.088062</v>
      </c>
      <c r="D54" s="22">
        <f t="shared" ref="D54:H54" si="6">D55+D56+D57+D58+D59</f>
        <v>83425.088062</v>
      </c>
      <c r="E54" s="22">
        <v>20796</v>
      </c>
      <c r="F54" s="22">
        <f t="shared" si="4"/>
        <v>30715.0467</v>
      </c>
      <c r="G54" s="22">
        <f t="shared" si="6"/>
        <v>25905.0467</v>
      </c>
      <c r="H54" s="22">
        <v>4810</v>
      </c>
      <c r="I54" s="1">
        <f t="shared" si="5"/>
        <v>15986</v>
      </c>
    </row>
    <row r="55" s="1" customFormat="1" ht="18" customHeight="1" spans="1:9">
      <c r="A55" s="23">
        <v>50901</v>
      </c>
      <c r="B55" s="25" t="s">
        <v>241</v>
      </c>
      <c r="C55" s="22">
        <f t="shared" si="3"/>
        <v>23752.6315</v>
      </c>
      <c r="D55" s="22">
        <v>23106.6315</v>
      </c>
      <c r="E55" s="22">
        <v>646</v>
      </c>
      <c r="F55" s="22">
        <f t="shared" si="4"/>
        <v>2673.8744</v>
      </c>
      <c r="G55" s="22">
        <v>2539.8744</v>
      </c>
      <c r="H55" s="22">
        <v>134</v>
      </c>
      <c r="I55" s="1">
        <f t="shared" si="5"/>
        <v>512</v>
      </c>
    </row>
    <row r="56" s="1" customFormat="1" ht="18" customHeight="1" spans="1:9">
      <c r="A56" s="23">
        <v>50902</v>
      </c>
      <c r="B56" s="25" t="s">
        <v>242</v>
      </c>
      <c r="C56" s="22">
        <f t="shared" si="3"/>
        <v>477.32</v>
      </c>
      <c r="D56" s="22">
        <v>436.32</v>
      </c>
      <c r="E56" s="22">
        <v>41</v>
      </c>
      <c r="F56" s="22">
        <f t="shared" si="4"/>
        <v>477.32</v>
      </c>
      <c r="G56" s="22">
        <v>436.32</v>
      </c>
      <c r="H56" s="22">
        <v>41</v>
      </c>
      <c r="I56" s="1">
        <f t="shared" si="5"/>
        <v>0</v>
      </c>
    </row>
    <row r="57" s="1" customFormat="1" ht="18" customHeight="1" spans="1:9">
      <c r="A57" s="23">
        <v>50903</v>
      </c>
      <c r="B57" s="25" t="s">
        <v>243</v>
      </c>
      <c r="C57" s="22">
        <f t="shared" si="3"/>
        <v>0</v>
      </c>
      <c r="D57" s="2"/>
      <c r="E57" s="22"/>
      <c r="F57" s="22">
        <f t="shared" si="4"/>
        <v>0</v>
      </c>
      <c r="G57" s="22"/>
      <c r="H57" s="22"/>
      <c r="I57" s="1">
        <f t="shared" si="5"/>
        <v>0</v>
      </c>
    </row>
    <row r="58" s="1" customFormat="1" ht="18" customHeight="1" spans="1:9">
      <c r="A58" s="23">
        <v>50905</v>
      </c>
      <c r="B58" s="25" t="s">
        <v>244</v>
      </c>
      <c r="C58" s="22">
        <f t="shared" si="3"/>
        <v>6630.9376</v>
      </c>
      <c r="D58" s="22">
        <v>4991.9376</v>
      </c>
      <c r="E58" s="22">
        <v>1639</v>
      </c>
      <c r="F58" s="22">
        <f t="shared" si="4"/>
        <v>6630.9376</v>
      </c>
      <c r="G58" s="22">
        <v>4991.9376</v>
      </c>
      <c r="H58" s="22">
        <v>1639</v>
      </c>
      <c r="I58" s="1">
        <f t="shared" si="5"/>
        <v>0</v>
      </c>
    </row>
    <row r="59" s="1" customFormat="1" ht="18" customHeight="1" spans="1:9">
      <c r="A59" s="23">
        <v>50999</v>
      </c>
      <c r="B59" s="25" t="s">
        <v>245</v>
      </c>
      <c r="C59" s="22">
        <f t="shared" si="3"/>
        <v>73360.198962</v>
      </c>
      <c r="D59" s="22">
        <v>54890.198962</v>
      </c>
      <c r="E59" s="22">
        <v>18470</v>
      </c>
      <c r="F59" s="22">
        <f t="shared" si="4"/>
        <v>20932.9147</v>
      </c>
      <c r="G59" s="22">
        <v>17936.9147</v>
      </c>
      <c r="H59" s="22">
        <v>2996</v>
      </c>
      <c r="I59" s="1">
        <f t="shared" si="5"/>
        <v>15474</v>
      </c>
    </row>
    <row r="60" s="1" customFormat="1" ht="18" customHeight="1" spans="1:9">
      <c r="A60" s="23">
        <v>510</v>
      </c>
      <c r="B60" s="24" t="s">
        <v>246</v>
      </c>
      <c r="C60" s="22">
        <f t="shared" si="3"/>
        <v>87609.25</v>
      </c>
      <c r="D60" s="22">
        <f>D61+D62</f>
        <v>81009.25</v>
      </c>
      <c r="E60" s="22">
        <v>6600</v>
      </c>
      <c r="F60" s="22">
        <f t="shared" si="4"/>
        <v>0</v>
      </c>
      <c r="G60" s="22"/>
      <c r="H60" s="22"/>
      <c r="I60" s="1">
        <f t="shared" si="5"/>
        <v>6600</v>
      </c>
    </row>
    <row r="61" s="1" customFormat="1" ht="18" customHeight="1" spans="1:9">
      <c r="A61" s="23">
        <v>51002</v>
      </c>
      <c r="B61" s="25" t="s">
        <v>247</v>
      </c>
      <c r="C61" s="22">
        <f t="shared" si="3"/>
        <v>87609.25</v>
      </c>
      <c r="D61" s="22">
        <v>81009.25</v>
      </c>
      <c r="E61" s="22">
        <v>6600</v>
      </c>
      <c r="F61" s="22">
        <f t="shared" si="4"/>
        <v>0</v>
      </c>
      <c r="G61" s="22"/>
      <c r="H61" s="22"/>
      <c r="I61" s="1">
        <f t="shared" si="5"/>
        <v>6600</v>
      </c>
    </row>
    <row r="62" s="1" customFormat="1" ht="18" hidden="1" customHeight="1" spans="1:9">
      <c r="A62" s="23">
        <v>51003</v>
      </c>
      <c r="B62" s="25" t="s">
        <v>248</v>
      </c>
      <c r="C62" s="22">
        <f t="shared" si="3"/>
        <v>0</v>
      </c>
      <c r="D62" s="22"/>
      <c r="E62" s="22"/>
      <c r="F62" s="22">
        <f t="shared" si="4"/>
        <v>0</v>
      </c>
      <c r="G62" s="22"/>
      <c r="H62" s="22"/>
      <c r="I62" s="1">
        <f t="shared" si="5"/>
        <v>0</v>
      </c>
    </row>
    <row r="63" s="1" customFormat="1" ht="18" customHeight="1" spans="1:9">
      <c r="A63" s="23">
        <v>511</v>
      </c>
      <c r="B63" s="24" t="s">
        <v>249</v>
      </c>
      <c r="C63" s="22">
        <f t="shared" si="3"/>
        <v>12210</v>
      </c>
      <c r="D63" s="22">
        <f>D66+D65+D64+D67</f>
        <v>12210</v>
      </c>
      <c r="E63" s="22"/>
      <c r="F63" s="22">
        <f t="shared" si="4"/>
        <v>0</v>
      </c>
      <c r="G63" s="22"/>
      <c r="H63" s="22"/>
      <c r="I63" s="1">
        <f t="shared" si="5"/>
        <v>0</v>
      </c>
    </row>
    <row r="64" s="1" customFormat="1" ht="18" customHeight="1" spans="1:9">
      <c r="A64" s="23">
        <v>51101</v>
      </c>
      <c r="B64" s="25" t="s">
        <v>250</v>
      </c>
      <c r="C64" s="22">
        <f t="shared" si="3"/>
        <v>12100</v>
      </c>
      <c r="D64" s="28">
        <v>12100</v>
      </c>
      <c r="E64" s="22"/>
      <c r="F64" s="22">
        <f t="shared" si="4"/>
        <v>0</v>
      </c>
      <c r="G64" s="22"/>
      <c r="H64" s="22"/>
      <c r="I64" s="1">
        <f t="shared" si="5"/>
        <v>0</v>
      </c>
    </row>
    <row r="65" s="1" customFormat="1" ht="18" customHeight="1" spans="1:10">
      <c r="A65" s="23">
        <v>51102</v>
      </c>
      <c r="B65" s="25" t="s">
        <v>251</v>
      </c>
      <c r="C65" s="22">
        <f t="shared" si="3"/>
        <v>50</v>
      </c>
      <c r="D65" s="29">
        <v>50</v>
      </c>
      <c r="E65" s="22"/>
      <c r="F65" s="22">
        <f t="shared" si="4"/>
        <v>0</v>
      </c>
      <c r="G65" s="22"/>
      <c r="H65" s="22"/>
      <c r="I65" s="1">
        <f t="shared" si="5"/>
        <v>0</v>
      </c>
      <c r="J65" s="1">
        <v>16.76</v>
      </c>
    </row>
    <row r="66" s="1" customFormat="1" ht="18" customHeight="1" spans="1:10">
      <c r="A66" s="23">
        <v>51103</v>
      </c>
      <c r="B66" s="25" t="s">
        <v>252</v>
      </c>
      <c r="C66" s="22">
        <f t="shared" si="3"/>
        <v>60</v>
      </c>
      <c r="D66" s="28">
        <v>60</v>
      </c>
      <c r="E66" s="22"/>
      <c r="F66" s="22">
        <f t="shared" si="4"/>
        <v>0</v>
      </c>
      <c r="G66" s="22"/>
      <c r="H66" s="22"/>
      <c r="I66" s="1">
        <f t="shared" si="5"/>
        <v>0</v>
      </c>
      <c r="J66" s="1">
        <v>10.82</v>
      </c>
    </row>
    <row r="67" s="1" customFormat="1" ht="18" hidden="1" customHeight="1" spans="1:10">
      <c r="A67" s="23">
        <v>51104</v>
      </c>
      <c r="B67" s="25" t="s">
        <v>253</v>
      </c>
      <c r="C67" s="22">
        <f t="shared" si="3"/>
        <v>0</v>
      </c>
      <c r="D67" s="29"/>
      <c r="E67" s="22"/>
      <c r="F67" s="22">
        <f t="shared" si="4"/>
        <v>0</v>
      </c>
      <c r="G67" s="22"/>
      <c r="H67" s="22"/>
      <c r="I67" s="1">
        <f t="shared" si="5"/>
        <v>0</v>
      </c>
      <c r="J67" s="1">
        <v>14.94</v>
      </c>
    </row>
    <row r="68" s="1" customFormat="1" ht="18" hidden="1" customHeight="1" spans="1:9">
      <c r="A68" s="23">
        <v>512</v>
      </c>
      <c r="B68" s="24" t="s">
        <v>254</v>
      </c>
      <c r="C68" s="22">
        <f t="shared" si="3"/>
        <v>0</v>
      </c>
      <c r="D68" s="22"/>
      <c r="E68" s="22"/>
      <c r="F68" s="22">
        <f t="shared" si="4"/>
        <v>0</v>
      </c>
      <c r="G68" s="22"/>
      <c r="H68" s="22"/>
      <c r="I68" s="1">
        <f t="shared" si="5"/>
        <v>0</v>
      </c>
    </row>
    <row r="69" s="1" customFormat="1" ht="18" hidden="1" customHeight="1" spans="1:10">
      <c r="A69" s="23">
        <v>51201</v>
      </c>
      <c r="B69" s="25" t="s">
        <v>255</v>
      </c>
      <c r="C69" s="22">
        <f t="shared" si="3"/>
        <v>0</v>
      </c>
      <c r="D69" s="30"/>
      <c r="E69" s="22"/>
      <c r="F69" s="22">
        <f t="shared" si="4"/>
        <v>0</v>
      </c>
      <c r="G69" s="22"/>
      <c r="H69" s="22"/>
      <c r="I69" s="1">
        <f t="shared" si="5"/>
        <v>0</v>
      </c>
      <c r="J69" s="1">
        <v>2.86</v>
      </c>
    </row>
    <row r="70" s="1" customFormat="1" ht="18" hidden="1" customHeight="1" spans="1:10">
      <c r="A70" s="23">
        <v>51202</v>
      </c>
      <c r="B70" s="25" t="s">
        <v>256</v>
      </c>
      <c r="C70" s="22">
        <f t="shared" si="3"/>
        <v>0</v>
      </c>
      <c r="D70" s="22"/>
      <c r="E70" s="22"/>
      <c r="F70" s="22">
        <f t="shared" si="4"/>
        <v>0</v>
      </c>
      <c r="G70" s="22"/>
      <c r="H70" s="22"/>
      <c r="I70" s="1">
        <f t="shared" si="5"/>
        <v>0</v>
      </c>
      <c r="J70" s="1">
        <v>7.86</v>
      </c>
    </row>
    <row r="71" s="1" customFormat="1" ht="18" hidden="1" customHeight="1" spans="1:9">
      <c r="A71" s="23">
        <v>513</v>
      </c>
      <c r="B71" s="24" t="s">
        <v>257</v>
      </c>
      <c r="C71" s="22">
        <f t="shared" si="3"/>
        <v>0</v>
      </c>
      <c r="D71" s="22"/>
      <c r="E71" s="22"/>
      <c r="F71" s="22">
        <f t="shared" si="4"/>
        <v>0</v>
      </c>
      <c r="G71" s="22"/>
      <c r="H71" s="22"/>
      <c r="I71" s="1">
        <f t="shared" si="5"/>
        <v>0</v>
      </c>
    </row>
    <row r="72" s="1" customFormat="1" ht="18" hidden="1" customHeight="1" spans="1:10">
      <c r="A72" s="23">
        <v>51301</v>
      </c>
      <c r="B72" s="31" t="s">
        <v>258</v>
      </c>
      <c r="C72" s="22">
        <f t="shared" si="3"/>
        <v>0</v>
      </c>
      <c r="D72" s="22"/>
      <c r="E72" s="22"/>
      <c r="F72" s="22">
        <f t="shared" si="4"/>
        <v>0</v>
      </c>
      <c r="G72" s="22"/>
      <c r="H72" s="22"/>
      <c r="I72" s="1">
        <f t="shared" si="5"/>
        <v>0</v>
      </c>
      <c r="J72" s="1">
        <v>9.48</v>
      </c>
    </row>
    <row r="73" s="1" customFormat="1" ht="18" hidden="1" customHeight="1" spans="1:10">
      <c r="A73" s="23">
        <v>51303</v>
      </c>
      <c r="B73" s="25" t="s">
        <v>259</v>
      </c>
      <c r="C73" s="22">
        <f t="shared" si="3"/>
        <v>0</v>
      </c>
      <c r="D73" s="22"/>
      <c r="E73" s="22"/>
      <c r="F73" s="22">
        <f t="shared" si="4"/>
        <v>0</v>
      </c>
      <c r="G73" s="22"/>
      <c r="H73" s="22"/>
      <c r="I73" s="1">
        <f t="shared" si="5"/>
        <v>0</v>
      </c>
      <c r="J73" s="1">
        <v>8.02</v>
      </c>
    </row>
    <row r="74" s="1" customFormat="1" ht="18" hidden="1" customHeight="1" spans="1:10">
      <c r="A74" s="23">
        <v>51304</v>
      </c>
      <c r="B74" s="25" t="s">
        <v>260</v>
      </c>
      <c r="C74" s="22">
        <f t="shared" si="3"/>
        <v>0</v>
      </c>
      <c r="D74" s="22"/>
      <c r="E74" s="22"/>
      <c r="F74" s="22">
        <f t="shared" si="4"/>
        <v>0</v>
      </c>
      <c r="G74" s="22"/>
      <c r="H74" s="22"/>
      <c r="I74" s="1">
        <f t="shared" si="5"/>
        <v>0</v>
      </c>
      <c r="J74" s="1">
        <v>1.25</v>
      </c>
    </row>
    <row r="75" s="1" customFormat="1" ht="18" hidden="1" customHeight="1" spans="1:10">
      <c r="A75" s="23">
        <v>51305</v>
      </c>
      <c r="B75" s="25" t="s">
        <v>261</v>
      </c>
      <c r="C75" s="22">
        <f t="shared" si="3"/>
        <v>0</v>
      </c>
      <c r="D75" s="22"/>
      <c r="E75" s="22"/>
      <c r="F75" s="22">
        <f t="shared" si="4"/>
        <v>0</v>
      </c>
      <c r="G75" s="22"/>
      <c r="H75" s="22"/>
      <c r="I75" s="1">
        <f t="shared" si="5"/>
        <v>0</v>
      </c>
      <c r="J75" s="1">
        <v>1.95</v>
      </c>
    </row>
    <row r="76" s="1" customFormat="1" ht="18" hidden="1" customHeight="1" spans="1:10">
      <c r="A76" s="23">
        <v>51306</v>
      </c>
      <c r="B76" s="25" t="s">
        <v>262</v>
      </c>
      <c r="C76" s="22">
        <f t="shared" si="3"/>
        <v>0</v>
      </c>
      <c r="D76" s="22"/>
      <c r="E76" s="22"/>
      <c r="F76" s="22">
        <f t="shared" si="4"/>
        <v>0</v>
      </c>
      <c r="G76" s="22"/>
      <c r="H76" s="22"/>
      <c r="I76" s="1">
        <f t="shared" si="5"/>
        <v>0</v>
      </c>
      <c r="J76" s="1">
        <v>8.06</v>
      </c>
    </row>
    <row r="77" s="1" customFormat="1" ht="18" hidden="1" customHeight="1" spans="1:9">
      <c r="A77" s="23">
        <v>51307</v>
      </c>
      <c r="B77" s="25" t="s">
        <v>263</v>
      </c>
      <c r="C77" s="22">
        <f t="shared" si="3"/>
        <v>0</v>
      </c>
      <c r="D77" s="22"/>
      <c r="E77" s="22"/>
      <c r="F77" s="22">
        <f t="shared" si="4"/>
        <v>0</v>
      </c>
      <c r="G77" s="22"/>
      <c r="H77" s="22"/>
      <c r="I77" s="1">
        <f t="shared" si="5"/>
        <v>0</v>
      </c>
    </row>
    <row r="78" s="1" customFormat="1" ht="18" customHeight="1" spans="1:9">
      <c r="A78" s="23">
        <v>514</v>
      </c>
      <c r="B78" s="24" t="s">
        <v>264</v>
      </c>
      <c r="C78" s="22">
        <f t="shared" si="3"/>
        <v>18500</v>
      </c>
      <c r="D78" s="22">
        <f>D79+D80</f>
        <v>15000</v>
      </c>
      <c r="E78" s="22">
        <v>3500</v>
      </c>
      <c r="F78" s="22">
        <f t="shared" si="4"/>
        <v>0</v>
      </c>
      <c r="G78" s="22"/>
      <c r="H78" s="22"/>
      <c r="I78" s="1">
        <f t="shared" si="5"/>
        <v>3500</v>
      </c>
    </row>
    <row r="79" s="1" customFormat="1" ht="18" customHeight="1" spans="1:9">
      <c r="A79" s="23">
        <v>51401</v>
      </c>
      <c r="B79" s="25" t="s">
        <v>265</v>
      </c>
      <c r="C79" s="22">
        <f t="shared" si="3"/>
        <v>18500</v>
      </c>
      <c r="D79" s="28">
        <v>15000</v>
      </c>
      <c r="E79" s="22">
        <v>3500</v>
      </c>
      <c r="F79" s="22">
        <f t="shared" si="4"/>
        <v>0</v>
      </c>
      <c r="G79" s="22"/>
      <c r="H79" s="22"/>
      <c r="I79" s="1">
        <f t="shared" si="5"/>
        <v>3500</v>
      </c>
    </row>
    <row r="80" s="1" customFormat="1" ht="18" hidden="1" customHeight="1" spans="1:9">
      <c r="A80" s="23">
        <v>51402</v>
      </c>
      <c r="B80" s="25" t="s">
        <v>266</v>
      </c>
      <c r="C80" s="22">
        <f t="shared" si="3"/>
        <v>0</v>
      </c>
      <c r="D80" s="22"/>
      <c r="E80" s="22"/>
      <c r="F80" s="22">
        <f t="shared" si="4"/>
        <v>0</v>
      </c>
      <c r="G80" s="22"/>
      <c r="H80" s="22"/>
      <c r="I80" s="1">
        <f t="shared" si="5"/>
        <v>0</v>
      </c>
    </row>
    <row r="81" s="1" customFormat="1" ht="18" customHeight="1" spans="1:9">
      <c r="A81" s="23">
        <v>599</v>
      </c>
      <c r="B81" s="24" t="s">
        <v>267</v>
      </c>
      <c r="C81" s="22">
        <f t="shared" si="3"/>
        <v>58503.374563</v>
      </c>
      <c r="D81" s="22">
        <f>D82+D83+D84+D85</f>
        <v>43081.374563</v>
      </c>
      <c r="E81" s="22">
        <v>15422</v>
      </c>
      <c r="F81" s="22">
        <f t="shared" si="4"/>
        <v>632</v>
      </c>
      <c r="G81" s="22">
        <f>G82+G83+G84+G85</f>
        <v>630</v>
      </c>
      <c r="H81" s="22">
        <v>2</v>
      </c>
      <c r="I81" s="1">
        <f t="shared" si="5"/>
        <v>15420</v>
      </c>
    </row>
    <row r="82" s="1" customFormat="1" ht="24" hidden="1" customHeight="1" spans="1:9">
      <c r="A82" s="23">
        <v>59906</v>
      </c>
      <c r="B82" s="25" t="s">
        <v>268</v>
      </c>
      <c r="C82" s="22">
        <f t="shared" si="3"/>
        <v>0</v>
      </c>
      <c r="D82" s="22"/>
      <c r="E82" s="22"/>
      <c r="F82" s="22">
        <f t="shared" si="4"/>
        <v>0</v>
      </c>
      <c r="G82" s="22"/>
      <c r="H82" s="22"/>
      <c r="I82" s="1">
        <f t="shared" si="5"/>
        <v>0</v>
      </c>
    </row>
    <row r="83" s="1" customFormat="1" ht="18" hidden="1" customHeight="1" spans="1:9">
      <c r="A83" s="23">
        <v>59907</v>
      </c>
      <c r="B83" s="25" t="s">
        <v>269</v>
      </c>
      <c r="C83" s="22">
        <f t="shared" si="3"/>
        <v>0</v>
      </c>
      <c r="D83" s="22"/>
      <c r="E83" s="22"/>
      <c r="F83" s="22">
        <f t="shared" si="4"/>
        <v>0</v>
      </c>
      <c r="G83" s="22"/>
      <c r="H83" s="22"/>
      <c r="I83" s="1">
        <f t="shared" si="5"/>
        <v>0</v>
      </c>
    </row>
    <row r="84" s="1" customFormat="1" ht="31" customHeight="1" spans="1:9">
      <c r="A84" s="26">
        <v>59908</v>
      </c>
      <c r="B84" s="32" t="s">
        <v>270</v>
      </c>
      <c r="C84" s="22">
        <f t="shared" si="3"/>
        <v>15445</v>
      </c>
      <c r="D84" s="28">
        <v>25</v>
      </c>
      <c r="E84" s="22">
        <v>15420</v>
      </c>
      <c r="F84" s="22">
        <f t="shared" si="4"/>
        <v>25</v>
      </c>
      <c r="G84" s="22">
        <v>25</v>
      </c>
      <c r="H84" s="22"/>
      <c r="I84" s="1">
        <f t="shared" si="5"/>
        <v>15420</v>
      </c>
    </row>
    <row r="85" s="1" customFormat="1" ht="18" customHeight="1" spans="1:9">
      <c r="A85" s="23">
        <v>59999</v>
      </c>
      <c r="B85" s="25" t="s">
        <v>271</v>
      </c>
      <c r="C85" s="22">
        <f t="shared" si="3"/>
        <v>43058.374563</v>
      </c>
      <c r="D85" s="28">
        <v>43056.374563</v>
      </c>
      <c r="E85" s="22">
        <v>2</v>
      </c>
      <c r="F85" s="22">
        <f t="shared" si="4"/>
        <v>607</v>
      </c>
      <c r="G85" s="22">
        <v>605</v>
      </c>
      <c r="H85" s="22">
        <v>2</v>
      </c>
      <c r="I85" s="1">
        <f t="shared" si="5"/>
        <v>0</v>
      </c>
    </row>
    <row r="99" customHeight="1" spans="2:8">
      <c r="B99" s="33"/>
      <c r="H99" s="34"/>
    </row>
  </sheetData>
  <mergeCells count="10">
    <mergeCell ref="B1:H1"/>
    <mergeCell ref="G2:H2"/>
    <mergeCell ref="C3:H3"/>
    <mergeCell ref="F4:H4"/>
    <mergeCell ref="A6:B6"/>
    <mergeCell ref="A3:A5"/>
    <mergeCell ref="B3:B5"/>
    <mergeCell ref="C4:C5"/>
    <mergeCell ref="D4:D5"/>
    <mergeCell ref="E4:E5"/>
  </mergeCells>
  <pageMargins left="0.751388888888889" right="0.751388888888889" top="1" bottom="1" header="0.5" footer="0.5"/>
  <pageSetup paperSize="9" scale="95" firstPageNumber="21" fitToHeight="0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公共预算收入</vt:lpstr>
      <vt:lpstr>公共预算支出</vt:lpstr>
      <vt:lpstr>基金收入</vt:lpstr>
      <vt:lpstr>基金支出</vt:lpstr>
      <vt:lpstr>社保基金收支</vt:lpstr>
      <vt:lpstr>三保</vt:lpstr>
      <vt:lpstr>政府经济分类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dcterms:created xsi:type="dcterms:W3CDTF">2006-09-17T11:21:00Z</dcterms:created>
  <dcterms:modified xsi:type="dcterms:W3CDTF">2025-06-11T01:55:59Z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2052-12.1.0.20305</vt:lpwstr>
  </property>
  <property fmtid="{D5CDD505-2E9C-101B-9397-08002B2CF9AE}" pid="4" name="ICV">
    <vt:lpwstr>99F299932DCDBCB5EC8C6267255C2A0A</vt:lpwstr>
  </property>
  <property fmtid="{D5CDD505-2E9C-101B-9397-08002B2CF9AE}" pid="5" name="KSOReadingLayout">
    <vt:bool>true</vt:bool>
  </property>
</Properties>
</file>